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autoCompressPictures="0"/>
  <mc:AlternateContent xmlns:mc="http://schemas.openxmlformats.org/markup-compatibility/2006">
    <mc:Choice Requires="x15">
      <x15ac:absPath xmlns:x15ac="http://schemas.microsoft.com/office/spreadsheetml/2010/11/ac" url="https://duco-my.sharepoint.com/personal/dgeibel_du-co_com/Documents/Desktop/Documents/Forms/Certifications/"/>
    </mc:Choice>
  </mc:AlternateContent>
  <xr:revisionPtr revIDLastSave="0" documentId="8_{D507765C-4F1D-49AF-91A0-268A50A04303}" xr6:coauthVersionLast="47" xr6:coauthVersionMax="47" xr10:uidLastSave="{00000000-0000-0000-0000-000000000000}"/>
  <workbookProtection workbookAlgorithmName="SHA-512" workbookHashValue="eA6HOTzdAarwbQz07odMoYr1/Ilj2HgXf+Dnnvk1HbEAsBU4tAvzZCHfQC2uJSbXIctTl7Y0RMtjOQcv6HdYSQ==" workbookSaltValue="LmZPdPH7pPthDTrBtLy9Fg==" workbookSpinCount="100000" lockStructure="1"/>
  <bookViews>
    <workbookView xWindow="-108" yWindow="-108" windowWidth="23256" windowHeight="12456"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Look-up'!$A$4:$I$582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oncurrentCalc="0"/>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8" l="1"/>
  <c r="C5" i="5"/>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B6" i="5"/>
  <c r="C6" i="5"/>
  <c r="V6" i="5"/>
  <c r="J6" i="5"/>
  <c r="E6" i="5"/>
  <c r="S6" i="5"/>
  <c r="T6" i="5"/>
  <c r="B7" i="5"/>
  <c r="T7" i="5"/>
  <c r="B8" i="5"/>
  <c r="T8" i="5"/>
  <c r="B9" i="5"/>
  <c r="T9" i="5"/>
  <c r="B10" i="5"/>
  <c r="T10" i="5"/>
  <c r="B11" i="5"/>
  <c r="T11" i="5"/>
  <c r="B12" i="5"/>
  <c r="T12" i="5"/>
  <c r="B13" i="5"/>
  <c r="T13" i="5"/>
  <c r="B14" i="5"/>
  <c r="T14" i="5"/>
  <c r="B15" i="5"/>
  <c r="T15" i="5"/>
  <c r="B16" i="5"/>
  <c r="T16" i="5"/>
  <c r="B17" i="5"/>
  <c r="T17" i="5"/>
  <c r="B18" i="5"/>
  <c r="T18" i="5"/>
  <c r="B19" i="5"/>
  <c r="T19" i="5"/>
  <c r="B20" i="5"/>
  <c r="T20" i="5"/>
  <c r="B21" i="5"/>
  <c r="T21" i="5"/>
  <c r="B22" i="5"/>
  <c r="T22" i="5"/>
  <c r="B23" i="5"/>
  <c r="T23" i="5"/>
  <c r="B24" i="5"/>
  <c r="T24" i="5"/>
  <c r="B25" i="5"/>
  <c r="T25" i="5"/>
  <c r="B26" i="5"/>
  <c r="T26" i="5"/>
  <c r="B27" i="5"/>
  <c r="T27" i="5"/>
  <c r="B28" i="5"/>
  <c r="T28" i="5"/>
  <c r="B29" i="5"/>
  <c r="T29" i="5"/>
  <c r="B30" i="5"/>
  <c r="T30" i="5"/>
  <c r="B31" i="5"/>
  <c r="T31" i="5"/>
  <c r="B32" i="5"/>
  <c r="T32" i="5"/>
  <c r="B33" i="5"/>
  <c r="T33" i="5"/>
  <c r="B34" i="5"/>
  <c r="T34" i="5"/>
  <c r="B35" i="5"/>
  <c r="T35" i="5"/>
  <c r="B36" i="5"/>
  <c r="T36" i="5"/>
  <c r="B37" i="5"/>
  <c r="T37" i="5"/>
  <c r="B38" i="5"/>
  <c r="T38" i="5"/>
  <c r="B39" i="5"/>
  <c r="T39" i="5"/>
  <c r="B40" i="5"/>
  <c r="T40" i="5"/>
  <c r="B41" i="5"/>
  <c r="T41" i="5"/>
  <c r="B42" i="5"/>
  <c r="T42" i="5"/>
  <c r="B43" i="5"/>
  <c r="T43" i="5"/>
  <c r="B44" i="5"/>
  <c r="T44" i="5"/>
  <c r="B45" i="5"/>
  <c r="T45" i="5"/>
  <c r="B46" i="5"/>
  <c r="T46" i="5"/>
  <c r="B47" i="5"/>
  <c r="T47" i="5"/>
  <c r="B48" i="5"/>
  <c r="T48" i="5"/>
  <c r="B49" i="5"/>
  <c r="T49" i="5"/>
  <c r="B50" i="5"/>
  <c r="T50" i="5"/>
  <c r="B51" i="5"/>
  <c r="T51" i="5"/>
  <c r="B52" i="5"/>
  <c r="T52" i="5"/>
  <c r="B53" i="5"/>
  <c r="T53" i="5"/>
  <c r="B54" i="5"/>
  <c r="T54" i="5"/>
  <c r="B55" i="5"/>
  <c r="T55" i="5"/>
  <c r="B56" i="5"/>
  <c r="T56" i="5"/>
  <c r="B57" i="5"/>
  <c r="T57" i="5"/>
  <c r="B58" i="5"/>
  <c r="T58" i="5"/>
  <c r="B59" i="5"/>
  <c r="T59" i="5"/>
  <c r="B60" i="5"/>
  <c r="T60" i="5"/>
  <c r="B61" i="5"/>
  <c r="T61" i="5"/>
  <c r="B62" i="5"/>
  <c r="T62" i="5"/>
  <c r="B63" i="5"/>
  <c r="T63" i="5"/>
  <c r="B64" i="5"/>
  <c r="T64" i="5"/>
  <c r="B65" i="5"/>
  <c r="T65" i="5"/>
  <c r="B66" i="5"/>
  <c r="T66" i="5"/>
  <c r="B67" i="5"/>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2501" i="5"/>
  <c r="T2501" i="5"/>
  <c r="B2502" i="5"/>
  <c r="T2502" i="5"/>
  <c r="B2503" i="5"/>
  <c r="T2503" i="5"/>
  <c r="B2504" i="5"/>
  <c r="T2504" i="5"/>
  <c r="V5" i="5"/>
  <c r="J5" i="5"/>
  <c r="E5" i="5"/>
  <c r="S5" i="5"/>
  <c r="T5" i="5"/>
  <c r="C7" i="5"/>
  <c r="V7" i="5"/>
  <c r="J7" i="5"/>
  <c r="C8" i="5"/>
  <c r="V8" i="5"/>
  <c r="J8"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C4"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F69" i="6"/>
  <c r="D4" i="5"/>
  <c r="E4" i="5"/>
  <c r="E7" i="5"/>
  <c r="E8" i="5"/>
  <c r="V9" i="5"/>
  <c r="E9" i="5"/>
  <c r="V10" i="5"/>
  <c r="E10" i="5"/>
  <c r="V11" i="5"/>
  <c r="E11" i="5"/>
  <c r="V12" i="5"/>
  <c r="E12" i="5"/>
  <c r="V13" i="5"/>
  <c r="E13" i="5"/>
  <c r="V14" i="5"/>
  <c r="E14" i="5"/>
  <c r="V15" i="5"/>
  <c r="E15" i="5"/>
  <c r="V16" i="5"/>
  <c r="E16" i="5"/>
  <c r="V17" i="5"/>
  <c r="E17" i="5"/>
  <c r="V18" i="5"/>
  <c r="E18" i="5"/>
  <c r="V19" i="5"/>
  <c r="E19" i="5"/>
  <c r="V20" i="5"/>
  <c r="E20" i="5"/>
  <c r="V21" i="5"/>
  <c r="E21" i="5"/>
  <c r="V22" i="5"/>
  <c r="E22" i="5"/>
  <c r="V23" i="5"/>
  <c r="E23" i="5"/>
  <c r="V24" i="5"/>
  <c r="E24" i="5"/>
  <c r="V25" i="5"/>
  <c r="E25" i="5"/>
  <c r="V26" i="5"/>
  <c r="E26" i="5"/>
  <c r="V27" i="5"/>
  <c r="E27" i="5"/>
  <c r="V28" i="5"/>
  <c r="E28" i="5"/>
  <c r="V29" i="5"/>
  <c r="E29" i="5"/>
  <c r="V30" i="5"/>
  <c r="E30" i="5"/>
  <c r="V31" i="5"/>
  <c r="E31" i="5"/>
  <c r="V32" i="5"/>
  <c r="E32" i="5"/>
  <c r="V33" i="5"/>
  <c r="E33" i="5"/>
  <c r="V34" i="5"/>
  <c r="E34" i="5"/>
  <c r="V35" i="5"/>
  <c r="E35" i="5"/>
  <c r="V36" i="5"/>
  <c r="E36" i="5"/>
  <c r="V37" i="5"/>
  <c r="E37" i="5"/>
  <c r="V38" i="5"/>
  <c r="E38" i="5"/>
  <c r="V39" i="5"/>
  <c r="E39" i="5"/>
  <c r="V40" i="5"/>
  <c r="E40" i="5"/>
  <c r="V41" i="5"/>
  <c r="E41" i="5"/>
  <c r="V42" i="5"/>
  <c r="E42" i="5"/>
  <c r="V43" i="5"/>
  <c r="E43" i="5"/>
  <c r="V44" i="5"/>
  <c r="E44" i="5"/>
  <c r="V45" i="5"/>
  <c r="E45" i="5"/>
  <c r="V46" i="5"/>
  <c r="E46" i="5"/>
  <c r="V47" i="5"/>
  <c r="E47" i="5"/>
  <c r="V48" i="5"/>
  <c r="E48" i="5"/>
  <c r="V49" i="5"/>
  <c r="E49" i="5"/>
  <c r="V50" i="5"/>
  <c r="E50" i="5"/>
  <c r="V51" i="5"/>
  <c r="E51" i="5"/>
  <c r="V52" i="5"/>
  <c r="E52" i="5"/>
  <c r="V53" i="5"/>
  <c r="E53" i="5"/>
  <c r="V54" i="5"/>
  <c r="E54" i="5"/>
  <c r="V55" i="5"/>
  <c r="E55" i="5"/>
  <c r="V56" i="5"/>
  <c r="E56" i="5"/>
  <c r="V57" i="5"/>
  <c r="E57" i="5"/>
  <c r="V58" i="5"/>
  <c r="E58" i="5"/>
  <c r="V59" i="5"/>
  <c r="E59" i="5"/>
  <c r="V60" i="5"/>
  <c r="E60" i="5"/>
  <c r="V61" i="5"/>
  <c r="E61" i="5"/>
  <c r="V62" i="5"/>
  <c r="E62" i="5"/>
  <c r="V63" i="5"/>
  <c r="E63" i="5"/>
  <c r="V64" i="5"/>
  <c r="E64" i="5"/>
  <c r="V65" i="5"/>
  <c r="E65" i="5"/>
  <c r="V66" i="5"/>
  <c r="E66" i="5"/>
  <c r="V67" i="5"/>
  <c r="E67" i="5"/>
  <c r="V68" i="5"/>
  <c r="E68" i="5"/>
  <c r="V69" i="5"/>
  <c r="E69" i="5"/>
  <c r="V70" i="5"/>
  <c r="E70" i="5"/>
  <c r="V71" i="5"/>
  <c r="E71" i="5"/>
  <c r="V72" i="5"/>
  <c r="E72" i="5"/>
  <c r="V73" i="5"/>
  <c r="E73" i="5"/>
  <c r="V74" i="5"/>
  <c r="E74" i="5"/>
  <c r="V75" i="5"/>
  <c r="E75" i="5"/>
  <c r="V76" i="5"/>
  <c r="E76" i="5"/>
  <c r="V77" i="5"/>
  <c r="E77" i="5"/>
  <c r="V78" i="5"/>
  <c r="E78" i="5"/>
  <c r="V79" i="5"/>
  <c r="E79" i="5"/>
  <c r="V80" i="5"/>
  <c r="E80" i="5"/>
  <c r="V81" i="5"/>
  <c r="E81" i="5"/>
  <c r="V82" i="5"/>
  <c r="E82" i="5"/>
  <c r="V83" i="5"/>
  <c r="E83" i="5"/>
  <c r="V84" i="5"/>
  <c r="E84" i="5"/>
  <c r="V85" i="5"/>
  <c r="E85" i="5"/>
  <c r="V86" i="5"/>
  <c r="E86" i="5"/>
  <c r="V87" i="5"/>
  <c r="E87" i="5"/>
  <c r="V88" i="5"/>
  <c r="E88" i="5"/>
  <c r="V89" i="5"/>
  <c r="E89" i="5"/>
  <c r="V90" i="5"/>
  <c r="E90" i="5"/>
  <c r="V91" i="5"/>
  <c r="E91" i="5"/>
  <c r="V92" i="5"/>
  <c r="E92" i="5"/>
  <c r="V93" i="5"/>
  <c r="E93" i="5"/>
  <c r="V94" i="5"/>
  <c r="E94" i="5"/>
  <c r="V95" i="5"/>
  <c r="E95" i="5"/>
  <c r="V96" i="5"/>
  <c r="E96" i="5"/>
  <c r="V97" i="5"/>
  <c r="E97" i="5"/>
  <c r="V98" i="5"/>
  <c r="E98" i="5"/>
  <c r="V99" i="5"/>
  <c r="E99" i="5"/>
  <c r="V100" i="5"/>
  <c r="E100" i="5"/>
  <c r="V101" i="5"/>
  <c r="E101" i="5"/>
  <c r="V102" i="5"/>
  <c r="E102" i="5"/>
  <c r="V103" i="5"/>
  <c r="E103" i="5"/>
  <c r="V104" i="5"/>
  <c r="E104" i="5"/>
  <c r="V105" i="5"/>
  <c r="E105" i="5"/>
  <c r="V106" i="5"/>
  <c r="E106" i="5"/>
  <c r="V107" i="5"/>
  <c r="E107" i="5"/>
  <c r="V108" i="5"/>
  <c r="E108" i="5"/>
  <c r="V109" i="5"/>
  <c r="E109" i="5"/>
  <c r="V110" i="5"/>
  <c r="E110" i="5"/>
  <c r="V111" i="5"/>
  <c r="E111" i="5"/>
  <c r="V112" i="5"/>
  <c r="E112" i="5"/>
  <c r="V113" i="5"/>
  <c r="E113" i="5"/>
  <c r="V114" i="5"/>
  <c r="E114" i="5"/>
  <c r="V115" i="5"/>
  <c r="E115" i="5"/>
  <c r="V116" i="5"/>
  <c r="E116" i="5"/>
  <c r="V117" i="5"/>
  <c r="E117" i="5"/>
  <c r="V118" i="5"/>
  <c r="E118" i="5"/>
  <c r="V119" i="5"/>
  <c r="E119" i="5"/>
  <c r="V120" i="5"/>
  <c r="E120" i="5"/>
  <c r="V121" i="5"/>
  <c r="E121" i="5"/>
  <c r="V122" i="5"/>
  <c r="E122" i="5"/>
  <c r="V123" i="5"/>
  <c r="E123" i="5"/>
  <c r="V124" i="5"/>
  <c r="E124" i="5"/>
  <c r="V125" i="5"/>
  <c r="E125" i="5"/>
  <c r="V126" i="5"/>
  <c r="E126" i="5"/>
  <c r="V127" i="5"/>
  <c r="E127" i="5"/>
  <c r="V128" i="5"/>
  <c r="E128" i="5"/>
  <c r="V129" i="5"/>
  <c r="E129" i="5"/>
  <c r="V130" i="5"/>
  <c r="E130" i="5"/>
  <c r="V131" i="5"/>
  <c r="E131" i="5"/>
  <c r="V132" i="5"/>
  <c r="E132" i="5"/>
  <c r="V133" i="5"/>
  <c r="E133" i="5"/>
  <c r="V134" i="5"/>
  <c r="E134" i="5"/>
  <c r="V135" i="5"/>
  <c r="E135" i="5"/>
  <c r="V136" i="5"/>
  <c r="E136" i="5"/>
  <c r="V137" i="5"/>
  <c r="E137" i="5"/>
  <c r="V138" i="5"/>
  <c r="E138" i="5"/>
  <c r="V139" i="5"/>
  <c r="E139" i="5"/>
  <c r="V140" i="5"/>
  <c r="E140" i="5"/>
  <c r="V141" i="5"/>
  <c r="E141" i="5"/>
  <c r="V142" i="5"/>
  <c r="E142" i="5"/>
  <c r="V143" i="5"/>
  <c r="E143" i="5"/>
  <c r="V144" i="5"/>
  <c r="E144" i="5"/>
  <c r="V145" i="5"/>
  <c r="E145" i="5"/>
  <c r="V146" i="5"/>
  <c r="E146" i="5"/>
  <c r="V147" i="5"/>
  <c r="E147" i="5"/>
  <c r="V148" i="5"/>
  <c r="E148" i="5"/>
  <c r="V149" i="5"/>
  <c r="E149" i="5"/>
  <c r="V150" i="5"/>
  <c r="E150" i="5"/>
  <c r="V151" i="5"/>
  <c r="E151" i="5"/>
  <c r="V152" i="5"/>
  <c r="E152" i="5"/>
  <c r="V153" i="5"/>
  <c r="E153" i="5"/>
  <c r="V154" i="5"/>
  <c r="E154" i="5"/>
  <c r="V155" i="5"/>
  <c r="E155" i="5"/>
  <c r="V156" i="5"/>
  <c r="E156" i="5"/>
  <c r="V157" i="5"/>
  <c r="E157" i="5"/>
  <c r="V158" i="5"/>
  <c r="E158" i="5"/>
  <c r="V159" i="5"/>
  <c r="E159" i="5"/>
  <c r="V160" i="5"/>
  <c r="E160" i="5"/>
  <c r="V161" i="5"/>
  <c r="E161" i="5"/>
  <c r="V162" i="5"/>
  <c r="E162" i="5"/>
  <c r="V163" i="5"/>
  <c r="E163" i="5"/>
  <c r="V164" i="5"/>
  <c r="E164" i="5"/>
  <c r="V165" i="5"/>
  <c r="E165" i="5"/>
  <c r="V166" i="5"/>
  <c r="E166" i="5"/>
  <c r="V167" i="5"/>
  <c r="E167" i="5"/>
  <c r="V168" i="5"/>
  <c r="E168" i="5"/>
  <c r="V169" i="5"/>
  <c r="E169" i="5"/>
  <c r="V170" i="5"/>
  <c r="E170" i="5"/>
  <c r="V171" i="5"/>
  <c r="E171" i="5"/>
  <c r="V172" i="5"/>
  <c r="E172" i="5"/>
  <c r="V173" i="5"/>
  <c r="E173" i="5"/>
  <c r="V174" i="5"/>
  <c r="E174" i="5"/>
  <c r="V175" i="5"/>
  <c r="E175" i="5"/>
  <c r="V176" i="5"/>
  <c r="E176" i="5"/>
  <c r="V177" i="5"/>
  <c r="E177" i="5"/>
  <c r="V178" i="5"/>
  <c r="E178" i="5"/>
  <c r="V179" i="5"/>
  <c r="E179" i="5"/>
  <c r="V180" i="5"/>
  <c r="E180" i="5"/>
  <c r="V181" i="5"/>
  <c r="E181" i="5"/>
  <c r="V182" i="5"/>
  <c r="E182" i="5"/>
  <c r="V183" i="5"/>
  <c r="E183" i="5"/>
  <c r="V184" i="5"/>
  <c r="E184" i="5"/>
  <c r="V185" i="5"/>
  <c r="E185" i="5"/>
  <c r="V186" i="5"/>
  <c r="E186" i="5"/>
  <c r="V187" i="5"/>
  <c r="E187" i="5"/>
  <c r="V188" i="5"/>
  <c r="E188" i="5"/>
  <c r="V189" i="5"/>
  <c r="E189" i="5"/>
  <c r="V190" i="5"/>
  <c r="E190" i="5"/>
  <c r="V191" i="5"/>
  <c r="E191" i="5"/>
  <c r="V192" i="5"/>
  <c r="E192" i="5"/>
  <c r="V193" i="5"/>
  <c r="E193" i="5"/>
  <c r="V194" i="5"/>
  <c r="E194" i="5"/>
  <c r="V195" i="5"/>
  <c r="E195" i="5"/>
  <c r="V196" i="5"/>
  <c r="E196" i="5"/>
  <c r="V197" i="5"/>
  <c r="E197" i="5"/>
  <c r="V198" i="5"/>
  <c r="E198" i="5"/>
  <c r="V199" i="5"/>
  <c r="E199" i="5"/>
  <c r="V200" i="5"/>
  <c r="E200" i="5"/>
  <c r="V201" i="5"/>
  <c r="E201" i="5"/>
  <c r="V202" i="5"/>
  <c r="E202" i="5"/>
  <c r="V203" i="5"/>
  <c r="E203" i="5"/>
  <c r="V204" i="5"/>
  <c r="E204" i="5"/>
  <c r="V205" i="5"/>
  <c r="E205" i="5"/>
  <c r="V206" i="5"/>
  <c r="E206" i="5"/>
  <c r="V207" i="5"/>
  <c r="E207" i="5"/>
  <c r="V208" i="5"/>
  <c r="E208" i="5"/>
  <c r="V209" i="5"/>
  <c r="E209" i="5"/>
  <c r="V210" i="5"/>
  <c r="E210" i="5"/>
  <c r="V211" i="5"/>
  <c r="E211" i="5"/>
  <c r="V212" i="5"/>
  <c r="E212" i="5"/>
  <c r="V213" i="5"/>
  <c r="E213" i="5"/>
  <c r="V214" i="5"/>
  <c r="E214" i="5"/>
  <c r="V215" i="5"/>
  <c r="E215" i="5"/>
  <c r="V216" i="5"/>
  <c r="E216" i="5"/>
  <c r="V217" i="5"/>
  <c r="E217" i="5"/>
  <c r="V218" i="5"/>
  <c r="E218" i="5"/>
  <c r="V219" i="5"/>
  <c r="E219" i="5"/>
  <c r="V220" i="5"/>
  <c r="E220" i="5"/>
  <c r="V221" i="5"/>
  <c r="E221" i="5"/>
  <c r="V222" i="5"/>
  <c r="E222" i="5"/>
  <c r="V223" i="5"/>
  <c r="E223" i="5"/>
  <c r="V224" i="5"/>
  <c r="E224" i="5"/>
  <c r="V225" i="5"/>
  <c r="E225" i="5"/>
  <c r="V226" i="5"/>
  <c r="E226" i="5"/>
  <c r="V227" i="5"/>
  <c r="E227" i="5"/>
  <c r="V228" i="5"/>
  <c r="E228" i="5"/>
  <c r="V229" i="5"/>
  <c r="E229" i="5"/>
  <c r="V230" i="5"/>
  <c r="E230" i="5"/>
  <c r="V231" i="5"/>
  <c r="E231" i="5"/>
  <c r="V232" i="5"/>
  <c r="E232" i="5"/>
  <c r="V233" i="5"/>
  <c r="E233" i="5"/>
  <c r="V234" i="5"/>
  <c r="E234" i="5"/>
  <c r="V235" i="5"/>
  <c r="E235" i="5"/>
  <c r="V236" i="5"/>
  <c r="E236" i="5"/>
  <c r="V237" i="5"/>
  <c r="E237" i="5"/>
  <c r="V238" i="5"/>
  <c r="E238" i="5"/>
  <c r="V239" i="5"/>
  <c r="E239" i="5"/>
  <c r="V240" i="5"/>
  <c r="E240" i="5"/>
  <c r="V241" i="5"/>
  <c r="E241" i="5"/>
  <c r="V242" i="5"/>
  <c r="E242" i="5"/>
  <c r="V243" i="5"/>
  <c r="E243" i="5"/>
  <c r="V244" i="5"/>
  <c r="E244" i="5"/>
  <c r="V245" i="5"/>
  <c r="E245" i="5"/>
  <c r="V246" i="5"/>
  <c r="E246" i="5"/>
  <c r="V247" i="5"/>
  <c r="E247" i="5"/>
  <c r="V248" i="5"/>
  <c r="E248" i="5"/>
  <c r="V249" i="5"/>
  <c r="E249" i="5"/>
  <c r="V250" i="5"/>
  <c r="E250" i="5"/>
  <c r="V251" i="5"/>
  <c r="E251" i="5"/>
  <c r="V252" i="5"/>
  <c r="E252" i="5"/>
  <c r="V253" i="5"/>
  <c r="E253" i="5"/>
  <c r="V254" i="5"/>
  <c r="E254" i="5"/>
  <c r="V255" i="5"/>
  <c r="E255" i="5"/>
  <c r="V256" i="5"/>
  <c r="E256" i="5"/>
  <c r="V257" i="5"/>
  <c r="E257" i="5"/>
  <c r="V258" i="5"/>
  <c r="E258" i="5"/>
  <c r="V259" i="5"/>
  <c r="E259" i="5"/>
  <c r="V260" i="5"/>
  <c r="E260" i="5"/>
  <c r="V261" i="5"/>
  <c r="E261" i="5"/>
  <c r="V262" i="5"/>
  <c r="E262" i="5"/>
  <c r="V263" i="5"/>
  <c r="E263" i="5"/>
  <c r="V264" i="5"/>
  <c r="E264" i="5"/>
  <c r="V265" i="5"/>
  <c r="E265" i="5"/>
  <c r="V266" i="5"/>
  <c r="E266" i="5"/>
  <c r="V267" i="5"/>
  <c r="E267" i="5"/>
  <c r="V268" i="5"/>
  <c r="E268" i="5"/>
  <c r="V269" i="5"/>
  <c r="E269" i="5"/>
  <c r="V270" i="5"/>
  <c r="E270" i="5"/>
  <c r="V271" i="5"/>
  <c r="E271" i="5"/>
  <c r="V272" i="5"/>
  <c r="E272" i="5"/>
  <c r="V273" i="5"/>
  <c r="E273" i="5"/>
  <c r="V274" i="5"/>
  <c r="E274" i="5"/>
  <c r="V275" i="5"/>
  <c r="E275" i="5"/>
  <c r="V276" i="5"/>
  <c r="E276" i="5"/>
  <c r="V277" i="5"/>
  <c r="E277" i="5"/>
  <c r="V278" i="5"/>
  <c r="E278" i="5"/>
  <c r="V279" i="5"/>
  <c r="E279" i="5"/>
  <c r="V280" i="5"/>
  <c r="E280" i="5"/>
  <c r="V281" i="5"/>
  <c r="E281" i="5"/>
  <c r="V282" i="5"/>
  <c r="E282" i="5"/>
  <c r="V283" i="5"/>
  <c r="E283" i="5"/>
  <c r="V284" i="5"/>
  <c r="E284" i="5"/>
  <c r="V285" i="5"/>
  <c r="E285" i="5"/>
  <c r="V286" i="5"/>
  <c r="E286" i="5"/>
  <c r="V287" i="5"/>
  <c r="E287" i="5"/>
  <c r="V288" i="5"/>
  <c r="E288" i="5"/>
  <c r="V289" i="5"/>
  <c r="E289" i="5"/>
  <c r="V290" i="5"/>
  <c r="E290" i="5"/>
  <c r="V291" i="5"/>
  <c r="E291" i="5"/>
  <c r="V292" i="5"/>
  <c r="E292" i="5"/>
  <c r="V293" i="5"/>
  <c r="E293" i="5"/>
  <c r="V294" i="5"/>
  <c r="E294" i="5"/>
  <c r="V295" i="5"/>
  <c r="E295" i="5"/>
  <c r="V296" i="5"/>
  <c r="E296" i="5"/>
  <c r="V297" i="5"/>
  <c r="E297" i="5"/>
  <c r="V298" i="5"/>
  <c r="E298" i="5"/>
  <c r="V299" i="5"/>
  <c r="E299" i="5"/>
  <c r="V300" i="5"/>
  <c r="E300" i="5"/>
  <c r="V301" i="5"/>
  <c r="E301" i="5"/>
  <c r="V302" i="5"/>
  <c r="E302" i="5"/>
  <c r="V303" i="5"/>
  <c r="E303" i="5"/>
  <c r="V304" i="5"/>
  <c r="E304" i="5"/>
  <c r="V305" i="5"/>
  <c r="E305" i="5"/>
  <c r="V306" i="5"/>
  <c r="E306" i="5"/>
  <c r="V307" i="5"/>
  <c r="E307" i="5"/>
  <c r="V308" i="5"/>
  <c r="E308" i="5"/>
  <c r="V309" i="5"/>
  <c r="E309" i="5"/>
  <c r="V310" i="5"/>
  <c r="E310" i="5"/>
  <c r="V311" i="5"/>
  <c r="E311" i="5"/>
  <c r="V312" i="5"/>
  <c r="E312" i="5"/>
  <c r="V313" i="5"/>
  <c r="E313" i="5"/>
  <c r="V314" i="5"/>
  <c r="E314" i="5"/>
  <c r="V315" i="5"/>
  <c r="E315" i="5"/>
  <c r="V316" i="5"/>
  <c r="E316" i="5"/>
  <c r="V317" i="5"/>
  <c r="E317" i="5"/>
  <c r="V318" i="5"/>
  <c r="E318" i="5"/>
  <c r="V319" i="5"/>
  <c r="E319" i="5"/>
  <c r="V320" i="5"/>
  <c r="E320" i="5"/>
  <c r="V321" i="5"/>
  <c r="E321" i="5"/>
  <c r="V322" i="5"/>
  <c r="E322" i="5"/>
  <c r="V323" i="5"/>
  <c r="E323" i="5"/>
  <c r="V324" i="5"/>
  <c r="E324" i="5"/>
  <c r="V325" i="5"/>
  <c r="E325" i="5"/>
  <c r="V326" i="5"/>
  <c r="E326" i="5"/>
  <c r="V327" i="5"/>
  <c r="E327" i="5"/>
  <c r="V328" i="5"/>
  <c r="E328" i="5"/>
  <c r="V329" i="5"/>
  <c r="E329" i="5"/>
  <c r="V330" i="5"/>
  <c r="E330" i="5"/>
  <c r="V331" i="5"/>
  <c r="E331" i="5"/>
  <c r="V332" i="5"/>
  <c r="E332" i="5"/>
  <c r="V333" i="5"/>
  <c r="E333" i="5"/>
  <c r="V334" i="5"/>
  <c r="E334" i="5"/>
  <c r="V335" i="5"/>
  <c r="E335" i="5"/>
  <c r="V336" i="5"/>
  <c r="E336" i="5"/>
  <c r="V337" i="5"/>
  <c r="E337" i="5"/>
  <c r="V338" i="5"/>
  <c r="E338" i="5"/>
  <c r="V339" i="5"/>
  <c r="E339" i="5"/>
  <c r="V340" i="5"/>
  <c r="E340" i="5"/>
  <c r="V341" i="5"/>
  <c r="E341" i="5"/>
  <c r="V342" i="5"/>
  <c r="E342" i="5"/>
  <c r="V343" i="5"/>
  <c r="E343" i="5"/>
  <c r="V344" i="5"/>
  <c r="E344" i="5"/>
  <c r="V345" i="5"/>
  <c r="E345"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69" i="6" a="1"/>
  <c r="G69" i="6"/>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G5" i="5"/>
  <c r="J5" i="8"/>
  <c r="K5" i="8"/>
  <c r="B10" i="6"/>
  <c r="B9" i="6"/>
  <c r="G64" i="6" a="1"/>
  <c r="G64"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4" i="6"/>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X2457"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X2393"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X2355" i="5"/>
  <c r="S2355" i="5"/>
  <c r="S2354" i="5"/>
  <c r="S2353" i="5"/>
  <c r="S2351" i="5"/>
  <c r="S2347" i="5"/>
  <c r="H2346" i="5"/>
  <c r="H2345" i="5"/>
  <c r="S2343" i="5"/>
  <c r="S2341" i="5"/>
  <c r="X2338"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X2282"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X2217" i="5"/>
  <c r="S2215" i="5"/>
  <c r="S2213" i="5"/>
  <c r="S2211" i="5"/>
  <c r="X2209" i="5"/>
  <c r="S2207" i="5"/>
  <c r="S2205" i="5"/>
  <c r="F2203" i="5"/>
  <c r="S2203" i="5"/>
  <c r="X2201"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X2075" i="5"/>
  <c r="S2075" i="5"/>
  <c r="X2072" i="5"/>
  <c r="S2070" i="5"/>
  <c r="S2067" i="5"/>
  <c r="F2065" i="5"/>
  <c r="F2064" i="5"/>
  <c r="S2064" i="5"/>
  <c r="S2060" i="5"/>
  <c r="S2059" i="5"/>
  <c r="F2056" i="5"/>
  <c r="X2053"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X1709" i="5"/>
  <c r="S1704" i="5"/>
  <c r="F1692" i="5"/>
  <c r="I1689" i="5"/>
  <c r="X1685"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X1466"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X1189" i="5"/>
  <c r="F1187" i="5"/>
  <c r="J1186" i="5"/>
  <c r="R1184" i="5"/>
  <c r="I1182" i="5"/>
  <c r="S1182" i="5"/>
  <c r="S1179" i="5"/>
  <c r="J1178" i="5"/>
  <c r="R1176" i="5"/>
  <c r="J1173" i="5"/>
  <c r="S1171" i="5"/>
  <c r="X1168"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X676" i="5"/>
  <c r="X668" i="5"/>
  <c r="X65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X437" i="5"/>
  <c r="R433" i="5"/>
  <c r="R432" i="5"/>
  <c r="R425" i="5"/>
  <c r="R424" i="5"/>
  <c r="F420" i="5"/>
  <c r="R417" i="5"/>
  <c r="R416" i="5"/>
  <c r="F413" i="5"/>
  <c r="F412" i="5"/>
  <c r="R408" i="5"/>
  <c r="F405" i="5"/>
  <c r="F404" i="5"/>
  <c r="R400" i="5"/>
  <c r="I399" i="5"/>
  <c r="I387" i="5"/>
  <c r="X377" i="5"/>
  <c r="R369" i="5"/>
  <c r="H368" i="5"/>
  <c r="I364" i="5"/>
  <c r="I363" i="5"/>
  <c r="I344" i="5"/>
  <c r="J338" i="5"/>
  <c r="R336" i="5"/>
  <c r="R332" i="5"/>
  <c r="R329" i="5"/>
  <c r="F325" i="5"/>
  <c r="R322" i="5"/>
  <c r="F317" i="5"/>
  <c r="R313" i="5"/>
  <c r="F302" i="5"/>
  <c r="F291" i="5"/>
  <c r="R283" i="5"/>
  <c r="X271" i="5"/>
  <c r="X269" i="5"/>
  <c r="R263" i="5"/>
  <c r="X257" i="5"/>
  <c r="R255" i="5"/>
  <c r="R253" i="5"/>
  <c r="R233" i="5"/>
  <c r="H231" i="5"/>
  <c r="H222" i="5"/>
  <c r="F221" i="5"/>
  <c r="R219" i="5"/>
  <c r="H218" i="5"/>
  <c r="H214" i="5"/>
  <c r="X213" i="5"/>
  <c r="X210" i="5"/>
  <c r="R205" i="5"/>
  <c r="I202" i="5"/>
  <c r="X190" i="5"/>
  <c r="J187" i="5"/>
  <c r="I186" i="5"/>
  <c r="R185" i="5"/>
  <c r="H179" i="5"/>
  <c r="I174" i="5"/>
  <c r="I171" i="5"/>
  <c r="I170" i="5"/>
  <c r="J167" i="5"/>
  <c r="H166" i="5"/>
  <c r="I162" i="5"/>
  <c r="I158" i="5"/>
  <c r="R157" i="5"/>
  <c r="I154" i="5"/>
  <c r="R153" i="5"/>
  <c r="X150" i="5"/>
  <c r="F145" i="5"/>
  <c r="I142" i="5"/>
  <c r="R141" i="5"/>
  <c r="I138" i="5"/>
  <c r="R137" i="5"/>
  <c r="I134" i="5"/>
  <c r="I130" i="5"/>
  <c r="X123" i="5"/>
  <c r="I122" i="5"/>
  <c r="R121" i="5"/>
  <c r="J111" i="5"/>
  <c r="I110" i="5"/>
  <c r="X106" i="5"/>
  <c r="R98" i="5"/>
  <c r="R96" i="5"/>
  <c r="X94" i="5"/>
  <c r="R92" i="5"/>
  <c r="H90" i="5"/>
  <c r="R88" i="5"/>
  <c r="H86" i="5"/>
  <c r="R85" i="5"/>
  <c r="R84" i="5"/>
  <c r="R82" i="5"/>
  <c r="R81" i="5"/>
  <c r="R80" i="5"/>
  <c r="R78" i="5"/>
  <c r="R76" i="5"/>
  <c r="X74" i="5"/>
  <c r="R72" i="5"/>
  <c r="H70" i="5"/>
  <c r="R69" i="5"/>
  <c r="R68" i="5"/>
  <c r="R66" i="5"/>
  <c r="R65" i="5"/>
  <c r="R64" i="5"/>
  <c r="R62" i="5"/>
  <c r="R60" i="5"/>
  <c r="H59" i="5"/>
  <c r="X58" i="5"/>
  <c r="R56" i="5"/>
  <c r="H55" i="5"/>
  <c r="H54" i="5"/>
  <c r="R53" i="5"/>
  <c r="R52" i="5"/>
  <c r="R50" i="5"/>
  <c r="R49" i="5"/>
  <c r="R48" i="5"/>
  <c r="R46" i="5"/>
  <c r="R45" i="5"/>
  <c r="R44" i="5"/>
  <c r="X42" i="5"/>
  <c r="R40" i="5"/>
  <c r="H39" i="5"/>
  <c r="H38" i="5"/>
  <c r="R37" i="5"/>
  <c r="R36" i="5"/>
  <c r="R34" i="5"/>
  <c r="R33" i="5"/>
  <c r="R32" i="5"/>
  <c r="I30" i="5"/>
  <c r="H29" i="5"/>
  <c r="I26" i="5"/>
  <c r="R24" i="5"/>
  <c r="H23" i="5"/>
  <c r="I22" i="5"/>
  <c r="R20" i="5"/>
  <c r="AB18" i="5"/>
  <c r="I18" i="5"/>
  <c r="R6" i="5"/>
  <c r="AB6" i="5"/>
  <c r="H5" i="5"/>
  <c r="B90" i="4"/>
  <c r="H67" i="4"/>
  <c r="P47" i="4"/>
  <c r="P46" i="4"/>
  <c r="P45" i="4"/>
  <c r="P44" i="4"/>
  <c r="P43" i="4"/>
  <c r="Q43" i="4"/>
  <c r="P41" i="4"/>
  <c r="P40" i="4"/>
  <c r="P39" i="4"/>
  <c r="P38" i="4"/>
  <c r="P37" i="4"/>
  <c r="Q37" i="4"/>
  <c r="P35" i="4"/>
  <c r="P34" i="4"/>
  <c r="P33" i="4"/>
  <c r="P32" i="4"/>
  <c r="P31" i="4"/>
  <c r="Q31" i="4"/>
  <c r="P29" i="4"/>
  <c r="P28" i="4"/>
  <c r="P27" i="4"/>
  <c r="P26" i="4"/>
  <c r="D11" i="4"/>
  <c r="A5" i="4"/>
  <c r="Q4" i="5"/>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X1479"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X405"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J235" i="5"/>
  <c r="F235" i="5"/>
  <c r="X1753" i="5"/>
  <c r="H1753" i="5"/>
  <c r="H75" i="5"/>
  <c r="X75" i="5"/>
  <c r="I764" i="5"/>
  <c r="I2158" i="5"/>
  <c r="R70" i="5"/>
  <c r="I106" i="5"/>
  <c r="AB364" i="5"/>
  <c r="R488" i="5"/>
  <c r="H1178" i="5"/>
  <c r="J1218" i="5"/>
  <c r="J1250" i="5"/>
  <c r="AB1312" i="5"/>
  <c r="F2013" i="5"/>
  <c r="X2061" i="5"/>
  <c r="AB2065" i="5"/>
  <c r="AB2152" i="5"/>
  <c r="H2474" i="5"/>
  <c r="X171"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X2342"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X2450" i="5"/>
  <c r="F217" i="5"/>
  <c r="I802" i="5"/>
  <c r="F802" i="5"/>
  <c r="I940" i="5"/>
  <c r="H940" i="5"/>
  <c r="H95" i="5"/>
  <c r="F95" i="5"/>
  <c r="I95" i="5"/>
  <c r="R780" i="5"/>
  <c r="I780" i="5"/>
  <c r="X780" i="5"/>
  <c r="H63" i="5"/>
  <c r="I63" i="5"/>
  <c r="I393" i="5"/>
  <c r="J393" i="5"/>
  <c r="F393" i="5"/>
  <c r="R630" i="5"/>
  <c r="X612" i="5"/>
  <c r="R612" i="5"/>
  <c r="F612" i="5"/>
  <c r="H1165" i="5"/>
  <c r="F1165" i="5"/>
  <c r="X1165" i="5"/>
  <c r="F539" i="5"/>
  <c r="I539" i="5"/>
  <c r="J782" i="5"/>
  <c r="X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X238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X1344" i="5"/>
  <c r="H1344" i="5"/>
  <c r="S2168" i="5"/>
  <c r="S2483" i="5"/>
  <c r="I38" i="5"/>
  <c r="I74" i="5"/>
  <c r="X170" i="5"/>
  <c r="AB218" i="5"/>
  <c r="AB235" i="5"/>
  <c r="J302" i="5"/>
  <c r="AB368" i="5"/>
  <c r="AB400" i="5"/>
  <c r="X413" i="5"/>
  <c r="AB442" i="5"/>
  <c r="X491" i="5"/>
  <c r="AB509" i="5"/>
  <c r="J528" i="5"/>
  <c r="AB536" i="5"/>
  <c r="AB556" i="5"/>
  <c r="AB591" i="5"/>
  <c r="S671" i="5"/>
  <c r="AB710" i="5"/>
  <c r="AB845" i="5"/>
  <c r="S896" i="5"/>
  <c r="AB914" i="5"/>
  <c r="AB959" i="5"/>
  <c r="S972" i="5"/>
  <c r="AB1149" i="5"/>
  <c r="AB1177" i="5"/>
  <c r="S1284" i="5"/>
  <c r="S1644" i="5"/>
  <c r="S1793" i="5"/>
  <c r="AB1793" i="5"/>
  <c r="X207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X1681" i="5"/>
  <c r="AB1681" i="5"/>
  <c r="S1715" i="5"/>
  <c r="R1898" i="5"/>
  <c r="J1898" i="5"/>
  <c r="F1987" i="5"/>
  <c r="I2005" i="5"/>
  <c r="R2005" i="5"/>
  <c r="S2129" i="5"/>
  <c r="R2150" i="5"/>
  <c r="H2150" i="5"/>
  <c r="X59" i="5"/>
  <c r="X235" i="5"/>
  <c r="R265" i="5"/>
  <c r="X291"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X1241"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X1467" i="5"/>
  <c r="AB1574" i="5"/>
  <c r="S1592" i="5"/>
  <c r="AB1700" i="5"/>
  <c r="AB1747" i="5"/>
  <c r="S1871" i="5"/>
  <c r="AB1903" i="5"/>
  <c r="I2001" i="5"/>
  <c r="S2006" i="5"/>
  <c r="H2009" i="5"/>
  <c r="H2024" i="5"/>
  <c r="AB2093" i="5"/>
  <c r="S2290" i="5"/>
  <c r="S2435" i="5"/>
  <c r="I2450" i="5"/>
  <c r="S1274" i="5"/>
  <c r="S1291" i="5"/>
  <c r="S1294" i="5"/>
  <c r="S1301" i="5"/>
  <c r="S1304" i="5"/>
  <c r="AB1340" i="5"/>
  <c r="S1632" i="5"/>
  <c r="X1665" i="5"/>
  <c r="S1700" i="5"/>
  <c r="S1716" i="5"/>
  <c r="S1794" i="5"/>
  <c r="S1843" i="5"/>
  <c r="AB1941" i="5"/>
  <c r="H1984" i="5"/>
  <c r="R2001" i="5"/>
  <c r="AB2007" i="5"/>
  <c r="X2017" i="5"/>
  <c r="AB2031" i="5"/>
  <c r="AB2060" i="5"/>
  <c r="J2146" i="5"/>
  <c r="R2190" i="5"/>
  <c r="J2202" i="5"/>
  <c r="AB2222" i="5"/>
  <c r="S2232" i="5"/>
  <c r="R2450" i="5"/>
  <c r="S2460" i="5"/>
  <c r="I2466" i="5"/>
  <c r="H1218" i="5"/>
  <c r="R1230" i="5"/>
  <c r="H1242" i="5"/>
  <c r="S1280" i="5"/>
  <c r="S1306" i="5"/>
  <c r="AB1338" i="5"/>
  <c r="AB1346" i="5"/>
  <c r="AB1392" i="5"/>
  <c r="I1419" i="5"/>
  <c r="I1455" i="5"/>
  <c r="X1551"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25" i="5"/>
  <c r="F25" i="5"/>
  <c r="X25" i="5"/>
  <c r="R97" i="5"/>
  <c r="X97" i="5"/>
  <c r="H79" i="5"/>
  <c r="F79" i="5"/>
  <c r="X79" i="5"/>
  <c r="I79" i="5"/>
  <c r="H47" i="5"/>
  <c r="X47" i="5"/>
  <c r="F47" i="5"/>
  <c r="H127" i="5"/>
  <c r="R127" i="5"/>
  <c r="J127" i="5"/>
  <c r="I127" i="5"/>
  <c r="X127" i="5"/>
  <c r="AB895" i="5"/>
  <c r="S895" i="5"/>
  <c r="AB1863" i="5"/>
  <c r="S1863" i="5"/>
  <c r="R54" i="5"/>
  <c r="R74" i="5"/>
  <c r="I90" i="5"/>
  <c r="H123" i="5"/>
  <c r="J123" i="5"/>
  <c r="I123" i="5"/>
  <c r="R189" i="5"/>
  <c r="AB210" i="5"/>
  <c r="R225" i="5"/>
  <c r="F225" i="5"/>
  <c r="X225" i="5"/>
  <c r="F309" i="5"/>
  <c r="F357" i="5"/>
  <c r="R463" i="5"/>
  <c r="F586" i="5"/>
  <c r="I714" i="5"/>
  <c r="J714" i="5"/>
  <c r="S738" i="5"/>
  <c r="R94" i="5"/>
  <c r="H94" i="5"/>
  <c r="AB170" i="5"/>
  <c r="X452" i="5"/>
  <c r="H452" i="5"/>
  <c r="F452" i="5"/>
  <c r="S1497" i="5"/>
  <c r="X26" i="5"/>
  <c r="I59" i="5"/>
  <c r="X63" i="5"/>
  <c r="I126" i="5"/>
  <c r="H126" i="5"/>
  <c r="H147" i="5"/>
  <c r="I147" i="5"/>
  <c r="F147" i="5"/>
  <c r="R237" i="5"/>
  <c r="F237" i="5"/>
  <c r="X237" i="5"/>
  <c r="J262" i="5"/>
  <c r="AB262" i="5"/>
  <c r="AB298" i="5"/>
  <c r="F451" i="5"/>
  <c r="R453" i="5"/>
  <c r="J453" i="5"/>
  <c r="H453" i="5"/>
  <c r="F453" i="5"/>
  <c r="H107" i="5"/>
  <c r="I107" i="5"/>
  <c r="X107" i="5"/>
  <c r="R125" i="5"/>
  <c r="AB1447" i="5"/>
  <c r="S1447" i="5"/>
  <c r="F43" i="5"/>
  <c r="R22" i="5"/>
  <c r="J59" i="5"/>
  <c r="F63" i="5"/>
  <c r="I70" i="5"/>
  <c r="H87" i="5"/>
  <c r="R90" i="5"/>
  <c r="AB114" i="5"/>
  <c r="R123" i="5"/>
  <c r="H167" i="5"/>
  <c r="R167" i="5"/>
  <c r="H187" i="5"/>
  <c r="X187" i="5"/>
  <c r="R187" i="5"/>
  <c r="I187" i="5"/>
  <c r="I275" i="5"/>
  <c r="F275" i="5"/>
  <c r="I361" i="5"/>
  <c r="J361" i="5"/>
  <c r="H361" i="5"/>
  <c r="F361" i="5"/>
  <c r="I479" i="5"/>
  <c r="H479" i="5"/>
  <c r="X479" i="5"/>
  <c r="F574" i="5"/>
  <c r="S641" i="5"/>
  <c r="R59" i="5"/>
  <c r="H111" i="5"/>
  <c r="R111" i="5"/>
  <c r="H171" i="5"/>
  <c r="R171" i="5"/>
  <c r="J171" i="5"/>
  <c r="I194" i="5"/>
  <c r="X468" i="5"/>
  <c r="F468" i="5"/>
  <c r="R562" i="5"/>
  <c r="I1848" i="5"/>
  <c r="H1848" i="5"/>
  <c r="H115" i="5"/>
  <c r="AB166" i="5"/>
  <c r="I198" i="5"/>
  <c r="H198" i="5"/>
  <c r="R201" i="5"/>
  <c r="R245" i="5"/>
  <c r="I461" i="5"/>
  <c r="F461" i="5"/>
  <c r="J552" i="5"/>
  <c r="H552" i="5"/>
  <c r="J107" i="5"/>
  <c r="AB178" i="5"/>
  <c r="R299" i="5"/>
  <c r="J299" i="5"/>
  <c r="X392"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X527" i="5"/>
  <c r="I527" i="5"/>
  <c r="I543" i="5"/>
  <c r="X543" i="5"/>
  <c r="AB560" i="5"/>
  <c r="R584" i="5"/>
  <c r="F584" i="5"/>
  <c r="AB595" i="5"/>
  <c r="I674" i="5"/>
  <c r="R674" i="5"/>
  <c r="F674" i="5"/>
  <c r="S722" i="5"/>
  <c r="S832" i="5"/>
  <c r="AB875" i="5"/>
  <c r="X875" i="5"/>
  <c r="AB907" i="5"/>
  <c r="S907" i="5"/>
  <c r="S919" i="5"/>
  <c r="AB942" i="5"/>
  <c r="J942" i="5"/>
  <c r="H974" i="5"/>
  <c r="AB974" i="5"/>
  <c r="AB990" i="5"/>
  <c r="S990" i="5"/>
  <c r="S1128" i="5"/>
  <c r="R1210" i="5"/>
  <c r="J1210" i="5"/>
  <c r="I1210" i="5"/>
  <c r="H1210" i="5"/>
  <c r="R271" i="5"/>
  <c r="X604" i="5"/>
  <c r="R604" i="5"/>
  <c r="R644" i="5"/>
  <c r="I722" i="5"/>
  <c r="J722" i="5"/>
  <c r="F788" i="5"/>
  <c r="X788" i="5"/>
  <c r="R851" i="5"/>
  <c r="AB851" i="5"/>
  <c r="S916" i="5"/>
  <c r="S979" i="5"/>
  <c r="X982"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X175" i="5"/>
  <c r="I255" i="5"/>
  <c r="X616" i="5"/>
  <c r="R616" i="5"/>
  <c r="S639" i="5"/>
  <c r="S649" i="5"/>
  <c r="R685" i="5"/>
  <c r="H685" i="5"/>
  <c r="S733" i="5"/>
  <c r="F768" i="5"/>
  <c r="X768" i="5"/>
  <c r="F786" i="5"/>
  <c r="X786" i="5"/>
  <c r="AB836" i="5"/>
  <c r="X836" i="5"/>
  <c r="S911" i="5"/>
  <c r="S927" i="5"/>
  <c r="S938" i="5"/>
  <c r="S976" i="5"/>
  <c r="AB1014" i="5"/>
  <c r="S1014" i="5"/>
  <c r="H1075" i="5"/>
  <c r="F1075" i="5"/>
  <c r="F1083" i="5"/>
  <c r="H1083" i="5"/>
  <c r="H174" i="5"/>
  <c r="AB207" i="5"/>
  <c r="AB215" i="5"/>
  <c r="J263" i="5"/>
  <c r="AB282" i="5"/>
  <c r="AB356" i="5"/>
  <c r="AB451" i="5"/>
  <c r="F480" i="5"/>
  <c r="X652" i="5"/>
  <c r="S711" i="5"/>
  <c r="S756" i="5"/>
  <c r="I786" i="5"/>
  <c r="S823" i="5"/>
  <c r="H840" i="5"/>
  <c r="F840" i="5"/>
  <c r="S859" i="5"/>
  <c r="AB869" i="5"/>
  <c r="F869" i="5"/>
  <c r="AB948" i="5"/>
  <c r="S948" i="5"/>
  <c r="X1011" i="5"/>
  <c r="F1011" i="5"/>
  <c r="AB567" i="5"/>
  <c r="X656" i="5"/>
  <c r="R656" i="5"/>
  <c r="S690" i="5"/>
  <c r="R796" i="5"/>
  <c r="I796" i="5"/>
  <c r="F796" i="5"/>
  <c r="X796" i="5"/>
  <c r="AB122" i="5"/>
  <c r="AB174" i="5"/>
  <c r="AB219" i="5"/>
  <c r="AB239" i="5"/>
  <c r="AB278" i="5"/>
  <c r="AB316" i="5"/>
  <c r="H393" i="5"/>
  <c r="AB396" i="5"/>
  <c r="AB404" i="5"/>
  <c r="AB414" i="5"/>
  <c r="AB422" i="5"/>
  <c r="AB458" i="5"/>
  <c r="AB468" i="5"/>
  <c r="J480" i="5"/>
  <c r="F482" i="5"/>
  <c r="F503" i="5"/>
  <c r="J646" i="5"/>
  <c r="R646" i="5"/>
  <c r="AB680" i="5"/>
  <c r="R680" i="5"/>
  <c r="J701" i="5"/>
  <c r="R701" i="5"/>
  <c r="I784" i="5"/>
  <c r="X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X1031" i="5"/>
  <c r="F1031" i="5"/>
  <c r="S1092" i="5"/>
  <c r="AB1107" i="5"/>
  <c r="S1112" i="5"/>
  <c r="F1169" i="5"/>
  <c r="I1169" i="5"/>
  <c r="AB1325" i="5"/>
  <c r="S1368" i="5"/>
  <c r="AB1705" i="5"/>
  <c r="X1717"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X700" i="5"/>
  <c r="S702" i="5"/>
  <c r="H707" i="5"/>
  <c r="X720" i="5"/>
  <c r="J730" i="5"/>
  <c r="I732" i="5"/>
  <c r="AB741" i="5"/>
  <c r="S754" i="5"/>
  <c r="S774" i="5"/>
  <c r="X807" i="5"/>
  <c r="X813" i="5"/>
  <c r="S835" i="5"/>
  <c r="S841" i="5"/>
  <c r="S862" i="5"/>
  <c r="S864" i="5"/>
  <c r="S873" i="5"/>
  <c r="F889" i="5"/>
  <c r="AB898" i="5"/>
  <c r="S931" i="5"/>
  <c r="S936" i="5"/>
  <c r="AB946" i="5"/>
  <c r="S988" i="5"/>
  <c r="S1074" i="5"/>
  <c r="S1084" i="5"/>
  <c r="S1096" i="5"/>
  <c r="H1102" i="5"/>
  <c r="X1102" i="5"/>
  <c r="H1136" i="5"/>
  <c r="X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X1082" i="5"/>
  <c r="F1082" i="5"/>
  <c r="S1099" i="5"/>
  <c r="AB1103" i="5"/>
  <c r="H1111" i="5"/>
  <c r="AB1118" i="5"/>
  <c r="AB1157" i="5"/>
  <c r="S1157" i="5"/>
  <c r="AB1233" i="5"/>
  <c r="X1233" i="5"/>
  <c r="AB1320" i="5"/>
  <c r="H1320" i="5"/>
  <c r="AB1352" i="5"/>
  <c r="R1352" i="5"/>
  <c r="J1369" i="5"/>
  <c r="R1369" i="5"/>
  <c r="H1369" i="5"/>
  <c r="AB1385" i="5"/>
  <c r="R1385" i="5"/>
  <c r="R1506" i="5"/>
  <c r="F1506" i="5"/>
  <c r="AB835" i="5"/>
  <c r="S889" i="5"/>
  <c r="AB986" i="5"/>
  <c r="AB1034" i="5"/>
  <c r="AB1106" i="5"/>
  <c r="H1127" i="5"/>
  <c r="F1127" i="5"/>
  <c r="S1141" i="5"/>
  <c r="H1157" i="5"/>
  <c r="X1157" i="5"/>
  <c r="AB609" i="5"/>
  <c r="AB622" i="5"/>
  <c r="S647" i="5"/>
  <c r="AB662" i="5"/>
  <c r="AB671" i="5"/>
  <c r="S703" i="5"/>
  <c r="AB708" i="5"/>
  <c r="F712" i="5"/>
  <c r="S721" i="5"/>
  <c r="AB732" i="5"/>
  <c r="S734" i="5"/>
  <c r="S737" i="5"/>
  <c r="AB744" i="5"/>
  <c r="AB782" i="5"/>
  <c r="X809" i="5"/>
  <c r="AB833" i="5"/>
  <c r="AB881" i="5"/>
  <c r="AB890" i="5"/>
  <c r="AB899" i="5"/>
  <c r="S904" i="5"/>
  <c r="F940" i="5"/>
  <c r="AB944" i="5"/>
  <c r="X991" i="5"/>
  <c r="AB1038" i="5"/>
  <c r="S1091" i="5"/>
  <c r="X1094"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X1497" i="5"/>
  <c r="J1539" i="5"/>
  <c r="I1539" i="5"/>
  <c r="AB1554" i="5"/>
  <c r="S1628" i="5"/>
  <c r="X1661" i="5"/>
  <c r="F1661" i="5"/>
  <c r="I1889" i="5"/>
  <c r="J1889" i="5"/>
  <c r="S1178" i="5"/>
  <c r="S1388" i="5"/>
  <c r="S1819" i="5"/>
  <c r="F1968" i="5"/>
  <c r="S1019" i="5"/>
  <c r="S1032" i="5"/>
  <c r="S1054" i="5"/>
  <c r="S1063" i="5"/>
  <c r="S1071" i="5"/>
  <c r="S1076" i="5"/>
  <c r="AB1090" i="5"/>
  <c r="S1131" i="5"/>
  <c r="AB1145" i="5"/>
  <c r="R1148" i="5"/>
  <c r="X1161"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X1917" i="5"/>
  <c r="AB1923" i="5"/>
  <c r="S1923" i="5"/>
  <c r="S2026" i="5"/>
  <c r="AB1050" i="5"/>
  <c r="AB1131" i="5"/>
  <c r="AB1194" i="5"/>
  <c r="S1209" i="5"/>
  <c r="X1245" i="5"/>
  <c r="S1252" i="5"/>
  <c r="S1269" i="5"/>
  <c r="S1272" i="5"/>
  <c r="AB1281" i="5"/>
  <c r="AB1300" i="5"/>
  <c r="J1313" i="5"/>
  <c r="S1332" i="5"/>
  <c r="AB1348" i="5"/>
  <c r="S1370" i="5"/>
  <c r="I1406" i="5"/>
  <c r="H1406" i="5"/>
  <c r="R1450" i="5"/>
  <c r="X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X1511" i="5"/>
  <c r="AB1539" i="5"/>
  <c r="S1556" i="5"/>
  <c r="AB1561" i="5"/>
  <c r="S1608" i="5"/>
  <c r="AB1633" i="5"/>
  <c r="AB1640" i="5"/>
  <c r="AB1680" i="5"/>
  <c r="X1680" i="5"/>
  <c r="S1782" i="5"/>
  <c r="AB1851" i="5"/>
  <c r="R1957" i="5"/>
  <c r="X1957" i="5"/>
  <c r="I1957" i="5"/>
  <c r="J1957" i="5"/>
  <c r="AB1960" i="5"/>
  <c r="I2037" i="5"/>
  <c r="R2037" i="5"/>
  <c r="H2037" i="5"/>
  <c r="F2037" i="5"/>
  <c r="X2037" i="5"/>
  <c r="J2037" i="5"/>
  <c r="S2206" i="5"/>
  <c r="AB2236" i="5"/>
  <c r="S2236" i="5"/>
  <c r="AB1209" i="5"/>
  <c r="S1277" i="5"/>
  <c r="J1524" i="5"/>
  <c r="R1524" i="5"/>
  <c r="X1637" i="5"/>
  <c r="F1637" i="5"/>
  <c r="S1660" i="5"/>
  <c r="X1677"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X1237" i="5"/>
  <c r="H1245" i="5"/>
  <c r="I1246" i="5"/>
  <c r="S1250" i="5"/>
  <c r="S1253" i="5"/>
  <c r="S1281" i="5"/>
  <c r="AB1301" i="5"/>
  <c r="I1305" i="5"/>
  <c r="AB1309" i="5"/>
  <c r="S1333" i="5"/>
  <c r="S1344" i="5"/>
  <c r="AB1349" i="5"/>
  <c r="AB1382" i="5"/>
  <c r="AB1393" i="5"/>
  <c r="AB1397" i="5"/>
  <c r="AB1454" i="5"/>
  <c r="H1470" i="5"/>
  <c r="F1470" i="5"/>
  <c r="AB1491" i="5"/>
  <c r="X1499"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X2009" i="5"/>
  <c r="F2053" i="5"/>
  <c r="X2065" i="5"/>
  <c r="R2065" i="5"/>
  <c r="J2065" i="5"/>
  <c r="H2065" i="5"/>
  <c r="F2184" i="5"/>
  <c r="F2257" i="5"/>
  <c r="X2350" i="5"/>
  <c r="J2350" i="5"/>
  <c r="F2350" i="5"/>
  <c r="AB1660" i="5"/>
  <c r="X1696" i="5"/>
  <c r="AB1746" i="5"/>
  <c r="AB1819" i="5"/>
  <c r="I2021" i="5"/>
  <c r="R2021" i="5"/>
  <c r="S2252" i="5"/>
  <c r="AB2252" i="5"/>
  <c r="S2342" i="5"/>
  <c r="S2379" i="5"/>
  <c r="AB2379" i="5"/>
  <c r="AB2401" i="5"/>
  <c r="AB1551" i="5"/>
  <c r="AB1553" i="5"/>
  <c r="AB1602" i="5"/>
  <c r="AB1636" i="5"/>
  <c r="AB1637" i="5"/>
  <c r="AB1677" i="5"/>
  <c r="AB1871" i="5"/>
  <c r="S1874" i="5"/>
  <c r="X1877" i="5"/>
  <c r="AB1880" i="5"/>
  <c r="S1903" i="5"/>
  <c r="X1913" i="5"/>
  <c r="AB1936" i="5"/>
  <c r="X1953" i="5"/>
  <c r="S2010" i="5"/>
  <c r="AB2048" i="5"/>
  <c r="X2185" i="5"/>
  <c r="F2185" i="5"/>
  <c r="I2185" i="5"/>
  <c r="H2185" i="5"/>
  <c r="S2352" i="5"/>
  <c r="R2453" i="5"/>
  <c r="X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X2324" i="5"/>
  <c r="R2340" i="5"/>
  <c r="F2340" i="5"/>
  <c r="R2373" i="5"/>
  <c r="J2373" i="5"/>
  <c r="I2373" i="5"/>
  <c r="X2373" i="5"/>
  <c r="AB1831" i="5"/>
  <c r="S1834" i="5"/>
  <c r="AB1864" i="5"/>
  <c r="R1890" i="5"/>
  <c r="S2018" i="5"/>
  <c r="S2031" i="5"/>
  <c r="S2035" i="5"/>
  <c r="I2245" i="5"/>
  <c r="R2245" i="5"/>
  <c r="J2245" i="5"/>
  <c r="H2245" i="5"/>
  <c r="F2245" i="5"/>
  <c r="X2245" i="5"/>
  <c r="I2273" i="5"/>
  <c r="H2273" i="5"/>
  <c r="F2356" i="5"/>
  <c r="R2356" i="5"/>
  <c r="X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X2436" i="5"/>
  <c r="AB2439" i="5"/>
  <c r="S2079" i="5"/>
  <c r="S2100" i="5"/>
  <c r="S2172" i="5"/>
  <c r="I2194" i="5"/>
  <c r="S2220" i="5"/>
  <c r="S2222" i="5"/>
  <c r="S2250" i="5"/>
  <c r="I2282" i="5"/>
  <c r="S2308" i="5"/>
  <c r="S2321" i="5"/>
  <c r="S2334" i="5"/>
  <c r="S2392" i="5"/>
  <c r="S2407" i="5"/>
  <c r="S2412" i="5"/>
  <c r="S2432" i="5"/>
  <c r="J2457" i="5"/>
  <c r="S2464" i="5"/>
  <c r="AB1947" i="5"/>
  <c r="AB1959" i="5"/>
  <c r="AB1968" i="5"/>
  <c r="AB1976" i="5"/>
  <c r="X2001"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X61" i="5"/>
  <c r="R73" i="5"/>
  <c r="X73" i="5"/>
  <c r="I73" i="5"/>
  <c r="F109" i="5"/>
  <c r="R109" i="5"/>
  <c r="R133" i="5"/>
  <c r="F133" i="5"/>
  <c r="F169" i="5"/>
  <c r="R169" i="5"/>
  <c r="X169" i="5"/>
  <c r="H195" i="5"/>
  <c r="F195" i="5"/>
  <c r="X195" i="5"/>
  <c r="R195" i="5"/>
  <c r="I195" i="5"/>
  <c r="J195" i="5"/>
  <c r="H67" i="5"/>
  <c r="R67" i="5"/>
  <c r="J67" i="5"/>
  <c r="X67" i="5"/>
  <c r="I67" i="5"/>
  <c r="F67" i="5"/>
  <c r="H19" i="5"/>
  <c r="R19" i="5"/>
  <c r="J19" i="5"/>
  <c r="X19" i="5"/>
  <c r="H35" i="5"/>
  <c r="X35" i="5"/>
  <c r="R35" i="5"/>
  <c r="J35" i="5"/>
  <c r="I35" i="5"/>
  <c r="F35" i="5"/>
  <c r="H139" i="5"/>
  <c r="R139" i="5"/>
  <c r="J139" i="5"/>
  <c r="I139" i="5"/>
  <c r="X139" i="5"/>
  <c r="F139" i="5"/>
  <c r="X193" i="5"/>
  <c r="F193" i="5"/>
  <c r="H227" i="5"/>
  <c r="X227" i="5"/>
  <c r="R227" i="5"/>
  <c r="F227" i="5"/>
  <c r="J227" i="5"/>
  <c r="I227" i="5"/>
  <c r="R41" i="5"/>
  <c r="X41" i="5"/>
  <c r="I41" i="5"/>
  <c r="H143" i="5"/>
  <c r="R143" i="5"/>
  <c r="J143" i="5"/>
  <c r="F143" i="5"/>
  <c r="I143" i="5"/>
  <c r="X143" i="5"/>
  <c r="F177" i="5"/>
  <c r="X177" i="5"/>
  <c r="R177" i="5"/>
  <c r="H183" i="5"/>
  <c r="F183" i="5"/>
  <c r="X183" i="5"/>
  <c r="I183" i="5"/>
  <c r="R183" i="5"/>
  <c r="J183" i="5"/>
  <c r="R241" i="5"/>
  <c r="F241" i="5"/>
  <c r="H247" i="5"/>
  <c r="I247" i="5"/>
  <c r="X247" i="5"/>
  <c r="F247" i="5"/>
  <c r="R247" i="5"/>
  <c r="J247" i="5"/>
  <c r="H259" i="5"/>
  <c r="X259" i="5"/>
  <c r="R259" i="5"/>
  <c r="J259" i="5"/>
  <c r="I259" i="5"/>
  <c r="F259" i="5"/>
  <c r="F173" i="5"/>
  <c r="R173" i="5"/>
  <c r="R93" i="5"/>
  <c r="I93" i="5"/>
  <c r="X93" i="5"/>
  <c r="H99" i="5"/>
  <c r="R99" i="5"/>
  <c r="J99" i="5"/>
  <c r="X99" i="5"/>
  <c r="I99" i="5"/>
  <c r="F99" i="5"/>
  <c r="H135" i="5"/>
  <c r="F135" i="5"/>
  <c r="R135" i="5"/>
  <c r="J135" i="5"/>
  <c r="I135" i="5"/>
  <c r="X135" i="5"/>
  <c r="H159" i="5"/>
  <c r="X159" i="5"/>
  <c r="R159" i="5"/>
  <c r="J159" i="5"/>
  <c r="I159" i="5"/>
  <c r="F159" i="5"/>
  <c r="I373" i="5"/>
  <c r="R373" i="5"/>
  <c r="J373" i="5"/>
  <c r="H373" i="5"/>
  <c r="F373" i="5"/>
  <c r="H27" i="5"/>
  <c r="X27" i="5"/>
  <c r="R27" i="5"/>
  <c r="J27" i="5"/>
  <c r="H83" i="5"/>
  <c r="R83" i="5"/>
  <c r="J83" i="5"/>
  <c r="I83" i="5"/>
  <c r="F83" i="5"/>
  <c r="X83" i="5"/>
  <c r="H51" i="5"/>
  <c r="R51" i="5"/>
  <c r="J51" i="5"/>
  <c r="X51" i="5"/>
  <c r="I51" i="5"/>
  <c r="F51" i="5"/>
  <c r="R77" i="5"/>
  <c r="I77" i="5"/>
  <c r="X77" i="5"/>
  <c r="R89" i="5"/>
  <c r="X89" i="5"/>
  <c r="I89" i="5"/>
  <c r="X129" i="5"/>
  <c r="F129" i="5"/>
  <c r="H199" i="5"/>
  <c r="R199" i="5"/>
  <c r="J199" i="5"/>
  <c r="I199" i="5"/>
  <c r="F199" i="5"/>
  <c r="X199" i="5"/>
  <c r="H131" i="5"/>
  <c r="F131" i="5"/>
  <c r="X131" i="5"/>
  <c r="I131" i="5"/>
  <c r="R131" i="5"/>
  <c r="J131" i="5"/>
  <c r="H21" i="5"/>
  <c r="J21" i="5"/>
  <c r="R57" i="5"/>
  <c r="X57" i="5"/>
  <c r="I57" i="5"/>
  <c r="F105" i="5"/>
  <c r="R105" i="5"/>
  <c r="X105" i="5"/>
  <c r="H119" i="5"/>
  <c r="F119" i="5"/>
  <c r="I119" i="5"/>
  <c r="X119" i="5"/>
  <c r="R119" i="5"/>
  <c r="J119" i="5"/>
  <c r="R197" i="5"/>
  <c r="F197" i="5"/>
  <c r="H223" i="5"/>
  <c r="R223" i="5"/>
  <c r="J223" i="5"/>
  <c r="F223" i="5"/>
  <c r="I223" i="5"/>
  <c r="X223" i="5"/>
  <c r="R229" i="5"/>
  <c r="F229" i="5"/>
  <c r="X229" i="5"/>
  <c r="R337" i="5"/>
  <c r="J337" i="5"/>
  <c r="H337" i="5"/>
  <c r="F337" i="5"/>
  <c r="X337" i="5"/>
  <c r="H31" i="5"/>
  <c r="J31" i="5"/>
  <c r="X31" i="5"/>
  <c r="I31" i="5"/>
  <c r="F31" i="5"/>
  <c r="F113" i="5"/>
  <c r="X113" i="5"/>
  <c r="R113" i="5"/>
  <c r="H155" i="5"/>
  <c r="R155" i="5"/>
  <c r="J155" i="5"/>
  <c r="I155" i="5"/>
  <c r="X155" i="5"/>
  <c r="F155" i="5"/>
  <c r="H203" i="5"/>
  <c r="R203" i="5"/>
  <c r="J203" i="5"/>
  <c r="I203" i="5"/>
  <c r="X203" i="5"/>
  <c r="F203" i="5"/>
  <c r="R249" i="5"/>
  <c r="F249" i="5"/>
  <c r="J29" i="5"/>
  <c r="I37" i="5"/>
  <c r="R39" i="5"/>
  <c r="I53" i="5"/>
  <c r="R55" i="5"/>
  <c r="I69" i="5"/>
  <c r="I85" i="5"/>
  <c r="AB140" i="5"/>
  <c r="AB156" i="5"/>
  <c r="AB160" i="5"/>
  <c r="R179" i="5"/>
  <c r="AB204" i="5"/>
  <c r="AB211" i="5"/>
  <c r="R231" i="5"/>
  <c r="H267" i="5"/>
  <c r="R267" i="5"/>
  <c r="J267" i="5"/>
  <c r="F267" i="5"/>
  <c r="R289" i="5"/>
  <c r="F289" i="5"/>
  <c r="X289" i="5"/>
  <c r="H295" i="5"/>
  <c r="F295" i="5"/>
  <c r="X295" i="5"/>
  <c r="R295" i="5"/>
  <c r="J321" i="5"/>
  <c r="H321" i="5"/>
  <c r="F321" i="5"/>
  <c r="I347" i="5"/>
  <c r="F347" i="5"/>
  <c r="R360" i="5"/>
  <c r="F360" i="5"/>
  <c r="X404" i="5"/>
  <c r="R404" i="5"/>
  <c r="I404" i="5"/>
  <c r="I437" i="5"/>
  <c r="R437" i="5"/>
  <c r="J437" i="5"/>
  <c r="H437" i="5"/>
  <c r="X444" i="5"/>
  <c r="R444" i="5"/>
  <c r="I444" i="5"/>
  <c r="H444" i="5"/>
  <c r="X448" i="5"/>
  <c r="I448" i="5"/>
  <c r="H448" i="5"/>
  <c r="F448" i="5"/>
  <c r="AB455" i="5"/>
  <c r="I457" i="5"/>
  <c r="R457" i="5"/>
  <c r="J457" i="5"/>
  <c r="F457" i="5"/>
  <c r="X457" i="5"/>
  <c r="J492" i="5"/>
  <c r="H492" i="5"/>
  <c r="R492" i="5"/>
  <c r="X548"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X389" i="5"/>
  <c r="H404" i="5"/>
  <c r="I421" i="5"/>
  <c r="R421" i="5"/>
  <c r="J421" i="5"/>
  <c r="H421" i="5"/>
  <c r="X428" i="5"/>
  <c r="R428" i="5"/>
  <c r="I428" i="5"/>
  <c r="H428" i="5"/>
  <c r="X432" i="5"/>
  <c r="I432" i="5"/>
  <c r="H432" i="5"/>
  <c r="F432" i="5"/>
  <c r="F437" i="5"/>
  <c r="X620" i="5"/>
  <c r="R620" i="5"/>
  <c r="J620" i="5"/>
  <c r="F620" i="5"/>
  <c r="AB307" i="5"/>
  <c r="I341" i="5"/>
  <c r="R341" i="5"/>
  <c r="J341" i="5"/>
  <c r="H341" i="5"/>
  <c r="F341" i="5"/>
  <c r="I397" i="5"/>
  <c r="R397" i="5"/>
  <c r="J397" i="5"/>
  <c r="H397" i="5"/>
  <c r="F397" i="5"/>
  <c r="X397" i="5"/>
  <c r="R42" i="5"/>
  <c r="H46" i="5"/>
  <c r="H62" i="5"/>
  <c r="X45" i="5"/>
  <c r="J47" i="5"/>
  <c r="X55" i="5"/>
  <c r="I62" i="5"/>
  <c r="J63" i="5"/>
  <c r="I78" i="5"/>
  <c r="J79" i="5"/>
  <c r="I94" i="5"/>
  <c r="J95" i="5"/>
  <c r="AB118" i="5"/>
  <c r="AB130" i="5"/>
  <c r="H142" i="5"/>
  <c r="J147" i="5"/>
  <c r="H158" i="5"/>
  <c r="X179" i="5"/>
  <c r="AB182" i="5"/>
  <c r="AB194" i="5"/>
  <c r="H235" i="5"/>
  <c r="R235" i="5"/>
  <c r="X263" i="5"/>
  <c r="J295" i="5"/>
  <c r="H299" i="5"/>
  <c r="I299" i="5"/>
  <c r="F299" i="5"/>
  <c r="X299" i="5"/>
  <c r="AB315" i="5"/>
  <c r="R325" i="5"/>
  <c r="J325" i="5"/>
  <c r="H325" i="5"/>
  <c r="AB330" i="5"/>
  <c r="I348" i="5"/>
  <c r="R348" i="5"/>
  <c r="H348" i="5"/>
  <c r="F348" i="5"/>
  <c r="I353" i="5"/>
  <c r="R353" i="5"/>
  <c r="J353" i="5"/>
  <c r="H353" i="5"/>
  <c r="F353" i="5"/>
  <c r="R356" i="5"/>
  <c r="I356" i="5"/>
  <c r="I380" i="5"/>
  <c r="R380" i="5"/>
  <c r="F380" i="5"/>
  <c r="AB395" i="5"/>
  <c r="X400" i="5"/>
  <c r="H400" i="5"/>
  <c r="F400" i="5"/>
  <c r="I409" i="5"/>
  <c r="J409" i="5"/>
  <c r="H409" i="5"/>
  <c r="F409" i="5"/>
  <c r="X409" i="5"/>
  <c r="X421" i="5"/>
  <c r="F428" i="5"/>
  <c r="I445" i="5"/>
  <c r="R445" i="5"/>
  <c r="J445" i="5"/>
  <c r="H445" i="5"/>
  <c r="R516" i="5"/>
  <c r="H516" i="5"/>
  <c r="R532" i="5"/>
  <c r="H532" i="5"/>
  <c r="X660" i="5"/>
  <c r="R660" i="5"/>
  <c r="F660" i="5"/>
  <c r="AB867" i="5"/>
  <c r="J867" i="5"/>
  <c r="S1003" i="5"/>
  <c r="AB1003" i="5"/>
  <c r="H219" i="5"/>
  <c r="I219" i="5"/>
  <c r="X219" i="5"/>
  <c r="AB290" i="5"/>
  <c r="I349" i="5"/>
  <c r="J349" i="5"/>
  <c r="H349" i="5"/>
  <c r="F349" i="5"/>
  <c r="X349" i="5"/>
  <c r="I381" i="5"/>
  <c r="J381" i="5"/>
  <c r="H381" i="5"/>
  <c r="F381" i="5"/>
  <c r="X381" i="5"/>
  <c r="X408" i="5"/>
  <c r="I408" i="5"/>
  <c r="H408" i="5"/>
  <c r="F408" i="5"/>
  <c r="I425" i="5"/>
  <c r="J425" i="5"/>
  <c r="H425" i="5"/>
  <c r="F425" i="5"/>
  <c r="X425" i="5"/>
  <c r="R58" i="5"/>
  <c r="X23" i="5"/>
  <c r="J25" i="5"/>
  <c r="AB26" i="5"/>
  <c r="X39" i="5"/>
  <c r="I46" i="5"/>
  <c r="AB22" i="5"/>
  <c r="F23" i="5"/>
  <c r="I24" i="5"/>
  <c r="R25" i="5"/>
  <c r="H34" i="5"/>
  <c r="F39" i="5"/>
  <c r="I45" i="5"/>
  <c r="R47" i="5"/>
  <c r="H50" i="5"/>
  <c r="F55" i="5"/>
  <c r="R63" i="5"/>
  <c r="H66" i="5"/>
  <c r="R79" i="5"/>
  <c r="H82" i="5"/>
  <c r="R95" i="5"/>
  <c r="H98" i="5"/>
  <c r="AB108" i="5"/>
  <c r="X111" i="5"/>
  <c r="AB124" i="5"/>
  <c r="AB128" i="5"/>
  <c r="X137" i="5"/>
  <c r="AB146" i="5"/>
  <c r="R147" i="5"/>
  <c r="X166" i="5"/>
  <c r="X167" i="5"/>
  <c r="AB172" i="5"/>
  <c r="F179" i="5"/>
  <c r="AB188" i="5"/>
  <c r="AB192" i="5"/>
  <c r="AB206" i="5"/>
  <c r="AB214" i="5"/>
  <c r="AB226" i="5"/>
  <c r="X231" i="5"/>
  <c r="J261" i="5"/>
  <c r="F263" i="5"/>
  <c r="H271" i="5"/>
  <c r="J271" i="5"/>
  <c r="I271" i="5"/>
  <c r="R273" i="5"/>
  <c r="F273" i="5"/>
  <c r="X273" i="5"/>
  <c r="R285" i="5"/>
  <c r="F285" i="5"/>
  <c r="H291" i="5"/>
  <c r="R291" i="5"/>
  <c r="J291" i="5"/>
  <c r="I291" i="5"/>
  <c r="AB294" i="5"/>
  <c r="J304" i="5"/>
  <c r="I304" i="5"/>
  <c r="H304" i="5"/>
  <c r="AB337" i="5"/>
  <c r="H356" i="5"/>
  <c r="AB383" i="5"/>
  <c r="I400" i="5"/>
  <c r="I405" i="5"/>
  <c r="R405" i="5"/>
  <c r="J405" i="5"/>
  <c r="H405" i="5"/>
  <c r="R409" i="5"/>
  <c r="X412" i="5"/>
  <c r="R412" i="5"/>
  <c r="I412" i="5"/>
  <c r="H412" i="5"/>
  <c r="X416" i="5"/>
  <c r="I416" i="5"/>
  <c r="H416" i="5"/>
  <c r="F416" i="5"/>
  <c r="F421" i="5"/>
  <c r="I433" i="5"/>
  <c r="J433" i="5"/>
  <c r="H433" i="5"/>
  <c r="F433" i="5"/>
  <c r="X433" i="5"/>
  <c r="X445" i="5"/>
  <c r="I449" i="5"/>
  <c r="R449" i="5"/>
  <c r="J449" i="5"/>
  <c r="H449" i="5"/>
  <c r="F449" i="5"/>
  <c r="X449" i="5"/>
  <c r="AB471" i="5"/>
  <c r="AB477" i="5"/>
  <c r="AB529" i="5"/>
  <c r="R606" i="5"/>
  <c r="F606" i="5"/>
  <c r="J642" i="5"/>
  <c r="R642" i="5"/>
  <c r="F642" i="5"/>
  <c r="H844" i="5"/>
  <c r="J844" i="5"/>
  <c r="AB266" i="5"/>
  <c r="I98" i="5"/>
  <c r="F111" i="5"/>
  <c r="AB134" i="5"/>
  <c r="F137" i="5"/>
  <c r="F141" i="5"/>
  <c r="AB142" i="5"/>
  <c r="X145" i="5"/>
  <c r="X161" i="5"/>
  <c r="F167" i="5"/>
  <c r="AB198" i="5"/>
  <c r="F205" i="5"/>
  <c r="F213" i="5"/>
  <c r="F219" i="5"/>
  <c r="F231" i="5"/>
  <c r="F253" i="5"/>
  <c r="X255" i="5"/>
  <c r="X267" i="5"/>
  <c r="H283" i="5"/>
  <c r="J283" i="5"/>
  <c r="I283" i="5"/>
  <c r="F283" i="5"/>
  <c r="X283" i="5"/>
  <c r="AB306" i="5"/>
  <c r="AB323" i="5"/>
  <c r="I345" i="5"/>
  <c r="R345" i="5"/>
  <c r="J345" i="5"/>
  <c r="H345" i="5"/>
  <c r="AB349" i="5"/>
  <c r="AB381" i="5"/>
  <c r="I385" i="5"/>
  <c r="R385" i="5"/>
  <c r="J385" i="5"/>
  <c r="H385" i="5"/>
  <c r="F385" i="5"/>
  <c r="X385" i="5"/>
  <c r="I429" i="5"/>
  <c r="R429" i="5"/>
  <c r="J429" i="5"/>
  <c r="H429" i="5"/>
  <c r="X436" i="5"/>
  <c r="R436" i="5"/>
  <c r="I436" i="5"/>
  <c r="H436" i="5"/>
  <c r="X440" i="5"/>
  <c r="I440" i="5"/>
  <c r="H440" i="5"/>
  <c r="F440" i="5"/>
  <c r="R456" i="5"/>
  <c r="I456" i="5"/>
  <c r="H456" i="5"/>
  <c r="R760" i="5"/>
  <c r="I760" i="5"/>
  <c r="F760" i="5"/>
  <c r="X760" i="5"/>
  <c r="R317" i="5"/>
  <c r="J317" i="5"/>
  <c r="H317" i="5"/>
  <c r="X33" i="5"/>
  <c r="I34" i="5"/>
  <c r="X49" i="5"/>
  <c r="I50" i="5"/>
  <c r="X65" i="5"/>
  <c r="I66" i="5"/>
  <c r="X81" i="5"/>
  <c r="I82" i="5"/>
  <c r="I23" i="5"/>
  <c r="I33" i="5"/>
  <c r="I39" i="5"/>
  <c r="I49" i="5"/>
  <c r="I55" i="5"/>
  <c r="F59" i="5"/>
  <c r="I65" i="5"/>
  <c r="F75" i="5"/>
  <c r="I81" i="5"/>
  <c r="I97" i="5"/>
  <c r="F101" i="5"/>
  <c r="F107" i="5"/>
  <c r="X110" i="5"/>
  <c r="F123" i="5"/>
  <c r="F127" i="5"/>
  <c r="AB138" i="5"/>
  <c r="AB154" i="5"/>
  <c r="AB158" i="5"/>
  <c r="F161" i="5"/>
  <c r="F165" i="5"/>
  <c r="F171" i="5"/>
  <c r="I179" i="5"/>
  <c r="F187" i="5"/>
  <c r="AB202" i="5"/>
  <c r="AB223" i="5"/>
  <c r="I231" i="5"/>
  <c r="AB238" i="5"/>
  <c r="X245" i="5"/>
  <c r="AB246" i="5"/>
  <c r="F255" i="5"/>
  <c r="R257" i="5"/>
  <c r="F257" i="5"/>
  <c r="AB259" i="5"/>
  <c r="AB274" i="5"/>
  <c r="H275" i="5"/>
  <c r="X275" i="5"/>
  <c r="R275" i="5"/>
  <c r="J275" i="5"/>
  <c r="J313" i="5"/>
  <c r="H313" i="5"/>
  <c r="F313" i="5"/>
  <c r="R333" i="5"/>
  <c r="J333" i="5"/>
  <c r="H333" i="5"/>
  <c r="I357" i="5"/>
  <c r="R357" i="5"/>
  <c r="J357" i="5"/>
  <c r="H357" i="5"/>
  <c r="R364" i="5"/>
  <c r="R368" i="5"/>
  <c r="F368" i="5"/>
  <c r="X396" i="5"/>
  <c r="R396" i="5"/>
  <c r="I396" i="5"/>
  <c r="H396" i="5"/>
  <c r="F396" i="5"/>
  <c r="I417" i="5"/>
  <c r="J417" i="5"/>
  <c r="H417" i="5"/>
  <c r="F417" i="5"/>
  <c r="X417" i="5"/>
  <c r="X429" i="5"/>
  <c r="F436" i="5"/>
  <c r="F456" i="5"/>
  <c r="X511" i="5"/>
  <c r="H511" i="5"/>
  <c r="H523" i="5"/>
  <c r="X523" i="5"/>
  <c r="F523" i="5"/>
  <c r="R566" i="5"/>
  <c r="F566" i="5"/>
  <c r="J638" i="5"/>
  <c r="R638" i="5"/>
  <c r="F638" i="5"/>
  <c r="I726" i="5"/>
  <c r="F726" i="5"/>
  <c r="X726" i="5"/>
  <c r="I742" i="5"/>
  <c r="F742" i="5"/>
  <c r="X742" i="5"/>
  <c r="AB322" i="5"/>
  <c r="J23" i="5"/>
  <c r="AB32" i="5"/>
  <c r="J39" i="5"/>
  <c r="X53" i="5"/>
  <c r="J55" i="5"/>
  <c r="X69" i="5"/>
  <c r="X85" i="5"/>
  <c r="X95" i="5"/>
  <c r="R101" i="5"/>
  <c r="H110" i="5"/>
  <c r="I111" i="5"/>
  <c r="R145" i="5"/>
  <c r="X147"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X388" i="5"/>
  <c r="R388" i="5"/>
  <c r="I388" i="5"/>
  <c r="H388" i="5"/>
  <c r="F388" i="5"/>
  <c r="I401" i="5"/>
  <c r="H401" i="5"/>
  <c r="F401" i="5"/>
  <c r="X401" i="5"/>
  <c r="I413" i="5"/>
  <c r="R413" i="5"/>
  <c r="J413" i="5"/>
  <c r="H413" i="5"/>
  <c r="X420" i="5"/>
  <c r="R420" i="5"/>
  <c r="I420" i="5"/>
  <c r="H420" i="5"/>
  <c r="X424" i="5"/>
  <c r="I424" i="5"/>
  <c r="H424" i="5"/>
  <c r="F424" i="5"/>
  <c r="F429" i="5"/>
  <c r="I441" i="5"/>
  <c r="J441" i="5"/>
  <c r="H441" i="5"/>
  <c r="F441" i="5"/>
  <c r="X441" i="5"/>
  <c r="R448" i="5"/>
  <c r="AB545" i="5"/>
  <c r="J508" i="5"/>
  <c r="J540" i="5"/>
  <c r="R544" i="5"/>
  <c r="J544" i="5"/>
  <c r="H544" i="5"/>
  <c r="X564" i="5"/>
  <c r="F564" i="5"/>
  <c r="R564" i="5"/>
  <c r="AB611" i="5"/>
  <c r="AB623" i="5"/>
  <c r="S623" i="5"/>
  <c r="S655" i="5"/>
  <c r="I666" i="5"/>
  <c r="R666" i="5"/>
  <c r="J666" i="5"/>
  <c r="F666" i="5"/>
  <c r="X666" i="5"/>
  <c r="S704" i="5"/>
  <c r="AB704" i="5"/>
  <c r="I734" i="5"/>
  <c r="J734" i="5"/>
  <c r="F734" i="5"/>
  <c r="X734" i="5"/>
  <c r="AB752" i="5"/>
  <c r="R752" i="5"/>
  <c r="AB849" i="5"/>
  <c r="S849" i="5"/>
  <c r="H1006" i="5"/>
  <c r="F1006" i="5"/>
  <c r="X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X461" i="5"/>
  <c r="I472" i="5"/>
  <c r="AB489" i="5"/>
  <c r="AB501" i="5"/>
  <c r="AB505" i="5"/>
  <c r="AB513" i="5"/>
  <c r="AB521" i="5"/>
  <c r="AB537" i="5"/>
  <c r="H543" i="5"/>
  <c r="X547" i="5"/>
  <c r="R556" i="5"/>
  <c r="J556" i="5"/>
  <c r="H563" i="5"/>
  <c r="F563" i="5"/>
  <c r="X563" i="5"/>
  <c r="AB571" i="5"/>
  <c r="R626" i="5"/>
  <c r="F626" i="5"/>
  <c r="I658" i="5"/>
  <c r="R658" i="5"/>
  <c r="J658" i="5"/>
  <c r="F658" i="5"/>
  <c r="AB661" i="5"/>
  <c r="R683" i="5"/>
  <c r="H683" i="5"/>
  <c r="S724" i="5"/>
  <c r="AB724" i="5"/>
  <c r="H770" i="5"/>
  <c r="X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X507" i="5"/>
  <c r="H539" i="5"/>
  <c r="X539" i="5"/>
  <c r="H547" i="5"/>
  <c r="I551" i="5"/>
  <c r="H551" i="5"/>
  <c r="F551" i="5"/>
  <c r="X551" i="5"/>
  <c r="X552" i="5"/>
  <c r="F552" i="5"/>
  <c r="R552" i="5"/>
  <c r="X560" i="5"/>
  <c r="R560" i="5"/>
  <c r="J560" i="5"/>
  <c r="H560" i="5"/>
  <c r="AB563" i="5"/>
  <c r="R582" i="5"/>
  <c r="F582" i="5"/>
  <c r="X628" i="5"/>
  <c r="R628" i="5"/>
  <c r="J628" i="5"/>
  <c r="F628" i="5"/>
  <c r="AB631" i="5"/>
  <c r="I694" i="5"/>
  <c r="J694" i="5"/>
  <c r="F694" i="5"/>
  <c r="X694" i="5"/>
  <c r="J724" i="5"/>
  <c r="I724" i="5"/>
  <c r="F831" i="5"/>
  <c r="R831" i="5"/>
  <c r="H831" i="5"/>
  <c r="I453" i="5"/>
  <c r="X453" i="5"/>
  <c r="H512" i="5"/>
  <c r="R512" i="5"/>
  <c r="F512" i="5"/>
  <c r="R598" i="5"/>
  <c r="F598" i="5"/>
  <c r="R618" i="5"/>
  <c r="R691" i="5"/>
  <c r="H691" i="5"/>
  <c r="H814" i="5"/>
  <c r="X828" i="5"/>
  <c r="J828" i="5"/>
  <c r="H828" i="5"/>
  <c r="F828" i="5"/>
  <c r="S884" i="5"/>
  <c r="AB971" i="5"/>
  <c r="S971" i="5"/>
  <c r="AB234" i="5"/>
  <c r="AB250" i="5"/>
  <c r="AB271" i="5"/>
  <c r="AB286" i="5"/>
  <c r="AB291" i="5"/>
  <c r="X302" i="5"/>
  <c r="AB304" i="5"/>
  <c r="J322" i="5"/>
  <c r="AB371" i="5"/>
  <c r="R372" i="5"/>
  <c r="AB387" i="5"/>
  <c r="AB391" i="5"/>
  <c r="AB392" i="5"/>
  <c r="AB399" i="5"/>
  <c r="AB460" i="5"/>
  <c r="AB462" i="5"/>
  <c r="R504" i="5"/>
  <c r="J520" i="5"/>
  <c r="R520" i="5"/>
  <c r="AB533" i="5"/>
  <c r="R536" i="5"/>
  <c r="AB547" i="5"/>
  <c r="AB555" i="5"/>
  <c r="I576" i="5"/>
  <c r="X584" i="5"/>
  <c r="J584" i="5"/>
  <c r="R586" i="5"/>
  <c r="AB599" i="5"/>
  <c r="F618" i="5"/>
  <c r="X636" i="5"/>
  <c r="F636" i="5"/>
  <c r="R636" i="5"/>
  <c r="J636" i="5"/>
  <c r="AB651" i="5"/>
  <c r="S651" i="5"/>
  <c r="AB677" i="5"/>
  <c r="S698" i="5"/>
  <c r="S716" i="5"/>
  <c r="AB716" i="5"/>
  <c r="F736" i="5"/>
  <c r="J736" i="5"/>
  <c r="I736" i="5"/>
  <c r="X736" i="5"/>
  <c r="S746" i="5"/>
  <c r="R776" i="5"/>
  <c r="I776" i="5"/>
  <c r="F776" i="5"/>
  <c r="X776" i="5"/>
  <c r="H790" i="5"/>
  <c r="X790" i="5"/>
  <c r="J790" i="5"/>
  <c r="I790" i="5"/>
  <c r="F790" i="5"/>
  <c r="R933" i="5"/>
  <c r="J933" i="5"/>
  <c r="F933" i="5"/>
  <c r="AB955" i="5"/>
  <c r="S955" i="5"/>
  <c r="S962" i="5"/>
  <c r="AB967" i="5"/>
  <c r="J967" i="5"/>
  <c r="X1018" i="5"/>
  <c r="H1018" i="5"/>
  <c r="F1018" i="5"/>
  <c r="X1114" i="5"/>
  <c r="H1114" i="5"/>
  <c r="F1114" i="5"/>
  <c r="AB287" i="5"/>
  <c r="H302" i="5"/>
  <c r="AB309" i="5"/>
  <c r="AB317" i="5"/>
  <c r="AB325" i="5"/>
  <c r="AB335" i="5"/>
  <c r="X361" i="5"/>
  <c r="X393" i="5"/>
  <c r="AB413" i="5"/>
  <c r="AB421" i="5"/>
  <c r="AB429" i="5"/>
  <c r="AB437" i="5"/>
  <c r="AB445" i="5"/>
  <c r="X455" i="5"/>
  <c r="I455" i="5"/>
  <c r="AB463" i="5"/>
  <c r="H491" i="5"/>
  <c r="F491" i="5"/>
  <c r="H495" i="5"/>
  <c r="X495" i="5"/>
  <c r="AB504" i="5"/>
  <c r="H508" i="5"/>
  <c r="J512" i="5"/>
  <c r="H540" i="5"/>
  <c r="F544" i="5"/>
  <c r="AB559" i="5"/>
  <c r="R614" i="5"/>
  <c r="AB619" i="5"/>
  <c r="S619" i="5"/>
  <c r="X624" i="5"/>
  <c r="F624" i="5"/>
  <c r="R624" i="5"/>
  <c r="J624" i="5"/>
  <c r="R692" i="5"/>
  <c r="J692" i="5"/>
  <c r="I692" i="5"/>
  <c r="X692" i="5"/>
  <c r="J708" i="5"/>
  <c r="I708" i="5"/>
  <c r="J716" i="5"/>
  <c r="I716" i="5"/>
  <c r="F716" i="5"/>
  <c r="F720" i="5"/>
  <c r="J728" i="5"/>
  <c r="F728" i="5"/>
  <c r="X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X568" i="5"/>
  <c r="R568" i="5"/>
  <c r="J568" i="5"/>
  <c r="X572" i="5"/>
  <c r="F572" i="5"/>
  <c r="R572" i="5"/>
  <c r="R610" i="5"/>
  <c r="F610" i="5"/>
  <c r="R622" i="5"/>
  <c r="F622" i="5"/>
  <c r="H632" i="5"/>
  <c r="AB635" i="5"/>
  <c r="S635" i="5"/>
  <c r="I654" i="5"/>
  <c r="R654" i="5"/>
  <c r="J654" i="5"/>
  <c r="F654" i="5"/>
  <c r="X654" i="5"/>
  <c r="H757" i="5"/>
  <c r="R767" i="5"/>
  <c r="S821" i="5"/>
  <c r="J826" i="5"/>
  <c r="I826" i="5"/>
  <c r="F826" i="5"/>
  <c r="X1059" i="5"/>
  <c r="F1059" i="5"/>
  <c r="J1059" i="5"/>
  <c r="H1059" i="5"/>
  <c r="H1062" i="5"/>
  <c r="X1062" i="5"/>
  <c r="H1070" i="5"/>
  <c r="F1070" i="5"/>
  <c r="X1070" i="5"/>
  <c r="AB645" i="5"/>
  <c r="J652" i="5"/>
  <c r="AB655" i="5"/>
  <c r="I668" i="5"/>
  <c r="S679" i="5"/>
  <c r="J744" i="5"/>
  <c r="AB746" i="5"/>
  <c r="H758" i="5"/>
  <c r="X758" i="5"/>
  <c r="AB762" i="5"/>
  <c r="R772" i="5"/>
  <c r="X772" i="5"/>
  <c r="H798" i="5"/>
  <c r="I798" i="5"/>
  <c r="F798" i="5"/>
  <c r="R800" i="5"/>
  <c r="F800" i="5"/>
  <c r="F804" i="5"/>
  <c r="AB807" i="5"/>
  <c r="AB839" i="5"/>
  <c r="S839" i="5"/>
  <c r="AB843" i="5"/>
  <c r="S854" i="5"/>
  <c r="H862" i="5"/>
  <c r="J862" i="5"/>
  <c r="X862" i="5"/>
  <c r="S870" i="5"/>
  <c r="AB891" i="5"/>
  <c r="J891" i="5"/>
  <c r="S900" i="5"/>
  <c r="R913" i="5"/>
  <c r="F913" i="5"/>
  <c r="J939" i="5"/>
  <c r="H939" i="5"/>
  <c r="J948" i="5"/>
  <c r="H948" i="5"/>
  <c r="J971" i="5"/>
  <c r="S983" i="5"/>
  <c r="S1023" i="5"/>
  <c r="H1038" i="5"/>
  <c r="F1038" i="5"/>
  <c r="X1038" i="5"/>
  <c r="X1043" i="5"/>
  <c r="J1043" i="5"/>
  <c r="H1043" i="5"/>
  <c r="F1043" i="5"/>
  <c r="AB1046" i="5"/>
  <c r="S1046" i="5"/>
  <c r="H1054" i="5"/>
  <c r="F1054" i="5"/>
  <c r="X1054" i="5"/>
  <c r="H1078" i="5"/>
  <c r="X1078" i="5"/>
  <c r="S1265" i="5"/>
  <c r="AB1265" i="5"/>
  <c r="AB602" i="5"/>
  <c r="J612" i="5"/>
  <c r="AB629" i="5"/>
  <c r="AB634" i="5"/>
  <c r="AB650" i="5"/>
  <c r="R652" i="5"/>
  <c r="H662" i="5"/>
  <c r="AB667" i="5"/>
  <c r="R668" i="5"/>
  <c r="AB673" i="5"/>
  <c r="J674" i="5"/>
  <c r="AB678" i="5"/>
  <c r="AB700" i="5"/>
  <c r="AB725" i="5"/>
  <c r="AB733" i="5"/>
  <c r="AB740" i="5"/>
  <c r="AB742" i="5"/>
  <c r="AB754" i="5"/>
  <c r="R764" i="5"/>
  <c r="X764" i="5"/>
  <c r="AB766" i="5"/>
  <c r="R766" i="5"/>
  <c r="H778" i="5"/>
  <c r="J778" i="5"/>
  <c r="X778" i="5"/>
  <c r="H824" i="5"/>
  <c r="X824" i="5"/>
  <c r="S828" i="5"/>
  <c r="AB828" i="5"/>
  <c r="F835" i="5"/>
  <c r="AB852" i="5"/>
  <c r="I852" i="5"/>
  <c r="H865" i="5"/>
  <c r="F865" i="5"/>
  <c r="S868" i="5"/>
  <c r="AB885" i="5"/>
  <c r="S930" i="5"/>
  <c r="J934" i="5"/>
  <c r="X934" i="5"/>
  <c r="S943" i="5"/>
  <c r="S951" i="5"/>
  <c r="S958" i="5"/>
  <c r="F978" i="5"/>
  <c r="H978" i="5"/>
  <c r="F990" i="5"/>
  <c r="X990" i="5"/>
  <c r="R1009" i="5"/>
  <c r="F1009" i="5"/>
  <c r="S1027" i="5"/>
  <c r="X1034" i="5"/>
  <c r="H1034" i="5"/>
  <c r="F1034" i="5"/>
  <c r="H1046" i="5"/>
  <c r="X1046" i="5"/>
  <c r="X1091" i="5"/>
  <c r="H1091" i="5"/>
  <c r="J1091" i="5"/>
  <c r="F1091" i="5"/>
  <c r="H1118" i="5"/>
  <c r="F1118" i="5"/>
  <c r="R1132" i="5"/>
  <c r="X1132" i="5"/>
  <c r="J1185" i="5"/>
  <c r="X1185" i="5"/>
  <c r="AB679" i="5"/>
  <c r="S770" i="5"/>
  <c r="H782" i="5"/>
  <c r="I782" i="5"/>
  <c r="F782" i="5"/>
  <c r="R784" i="5"/>
  <c r="F784" i="5"/>
  <c r="S790" i="5"/>
  <c r="H802" i="5"/>
  <c r="J802" i="5"/>
  <c r="R804" i="5"/>
  <c r="X804" i="5"/>
  <c r="I812" i="5"/>
  <c r="X812" i="5"/>
  <c r="R812" i="5"/>
  <c r="S815" i="5"/>
  <c r="S837" i="5"/>
  <c r="S840" i="5"/>
  <c r="AB840" i="5"/>
  <c r="H878" i="5"/>
  <c r="F878" i="5"/>
  <c r="X878" i="5"/>
  <c r="R885" i="5"/>
  <c r="J885" i="5"/>
  <c r="F885" i="5"/>
  <c r="AB935" i="5"/>
  <c r="S935" i="5"/>
  <c r="R953" i="5"/>
  <c r="F953" i="5"/>
  <c r="S1004" i="5"/>
  <c r="AB1010" i="5"/>
  <c r="S1010" i="5"/>
  <c r="X1023" i="5"/>
  <c r="J1023" i="5"/>
  <c r="H1023" i="5"/>
  <c r="F1023" i="5"/>
  <c r="R1025" i="5"/>
  <c r="F1025" i="5"/>
  <c r="R1201" i="5"/>
  <c r="I1201" i="5"/>
  <c r="F1201" i="5"/>
  <c r="X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X1027" i="5"/>
  <c r="J1027" i="5"/>
  <c r="H1027" i="5"/>
  <c r="F1027" i="5"/>
  <c r="AB1030" i="5"/>
  <c r="S1030" i="5"/>
  <c r="X1047" i="5"/>
  <c r="J1047" i="5"/>
  <c r="H1047" i="5"/>
  <c r="X1050" i="5"/>
  <c r="H1050" i="5"/>
  <c r="F1050" i="5"/>
  <c r="X1063" i="5"/>
  <c r="H1063" i="5"/>
  <c r="J1063" i="5"/>
  <c r="F1063" i="5"/>
  <c r="S1087" i="5"/>
  <c r="AB1087" i="5"/>
  <c r="S1108" i="5"/>
  <c r="X1130" i="5"/>
  <c r="H1130" i="5"/>
  <c r="F1130" i="5"/>
  <c r="R1147" i="5"/>
  <c r="H1147" i="5"/>
  <c r="J1147" i="5"/>
  <c r="F1147" i="5"/>
  <c r="X1147" i="5"/>
  <c r="AB452" i="5"/>
  <c r="F616" i="5"/>
  <c r="AB625" i="5"/>
  <c r="AB637" i="5"/>
  <c r="AB653" i="5"/>
  <c r="AB657" i="5"/>
  <c r="S663" i="5"/>
  <c r="I676" i="5"/>
  <c r="S695" i="5"/>
  <c r="H700" i="5"/>
  <c r="AB709" i="5"/>
  <c r="J710" i="5"/>
  <c r="AB717" i="5"/>
  <c r="H718" i="5"/>
  <c r="F746" i="5"/>
  <c r="I748" i="5"/>
  <c r="X756" i="5"/>
  <c r="F758" i="5"/>
  <c r="S772" i="5"/>
  <c r="AB774" i="5"/>
  <c r="R774" i="5"/>
  <c r="R783" i="5"/>
  <c r="H786" i="5"/>
  <c r="J786" i="5"/>
  <c r="R792" i="5"/>
  <c r="F792" i="5"/>
  <c r="X792" i="5"/>
  <c r="AB798" i="5"/>
  <c r="S809" i="5"/>
  <c r="H812" i="5"/>
  <c r="AB824" i="5"/>
  <c r="S843" i="5"/>
  <c r="S851" i="5"/>
  <c r="S866" i="5"/>
  <c r="S871" i="5"/>
  <c r="J894" i="5"/>
  <c r="F894" i="5"/>
  <c r="X894" i="5"/>
  <c r="J910" i="5"/>
  <c r="H910" i="5"/>
  <c r="X910" i="5"/>
  <c r="R917" i="5"/>
  <c r="F917" i="5"/>
  <c r="H935" i="5"/>
  <c r="F935" i="5"/>
  <c r="J938" i="5"/>
  <c r="H938" i="5"/>
  <c r="AB951" i="5"/>
  <c r="R969" i="5"/>
  <c r="F969" i="5"/>
  <c r="X1019" i="5"/>
  <c r="J1019" i="5"/>
  <c r="H1019" i="5"/>
  <c r="F1019" i="5"/>
  <c r="AB1027" i="5"/>
  <c r="F1047" i="5"/>
  <c r="X1087" i="5"/>
  <c r="F1087" i="5"/>
  <c r="J1087" i="5"/>
  <c r="H1087" i="5"/>
  <c r="AB1119" i="5"/>
  <c r="S1119" i="5"/>
  <c r="X113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X798" i="5"/>
  <c r="X800" i="5"/>
  <c r="J812" i="5"/>
  <c r="F830" i="5"/>
  <c r="F832" i="5"/>
  <c r="AB834" i="5"/>
  <c r="S834" i="5"/>
  <c r="AB846" i="5"/>
  <c r="F862" i="5"/>
  <c r="AB866" i="5"/>
  <c r="S872" i="5"/>
  <c r="R881" i="5"/>
  <c r="F881" i="5"/>
  <c r="AB883" i="5"/>
  <c r="X883" i="5"/>
  <c r="S902" i="5"/>
  <c r="F910" i="5"/>
  <c r="J917" i="5"/>
  <c r="X938" i="5"/>
  <c r="X995" i="5"/>
  <c r="J995" i="5"/>
  <c r="H995" i="5"/>
  <c r="F995" i="5"/>
  <c r="X999" i="5"/>
  <c r="J999" i="5"/>
  <c r="H999" i="5"/>
  <c r="F999" i="5"/>
  <c r="AB1002" i="5"/>
  <c r="S1002" i="5"/>
  <c r="S1100" i="5"/>
  <c r="S1169" i="5"/>
  <c r="AB1169" i="5"/>
  <c r="AB606" i="5"/>
  <c r="J616" i="5"/>
  <c r="F630" i="5"/>
  <c r="F652" i="5"/>
  <c r="F668" i="5"/>
  <c r="AB670" i="5"/>
  <c r="X674" i="5"/>
  <c r="H688" i="5"/>
  <c r="S697" i="5"/>
  <c r="J700" i="5"/>
  <c r="H738" i="5"/>
  <c r="I740" i="5"/>
  <c r="J758" i="5"/>
  <c r="R768" i="5"/>
  <c r="I768" i="5"/>
  <c r="F772" i="5"/>
  <c r="R788" i="5"/>
  <c r="I788" i="5"/>
  <c r="J798" i="5"/>
  <c r="I800" i="5"/>
  <c r="X802" i="5"/>
  <c r="S804" i="5"/>
  <c r="AB812" i="5"/>
  <c r="J820" i="5"/>
  <c r="F820" i="5"/>
  <c r="X820" i="5"/>
  <c r="H825" i="5"/>
  <c r="J825" i="5"/>
  <c r="AB829" i="5"/>
  <c r="J832" i="5"/>
  <c r="J848" i="5"/>
  <c r="H848" i="5"/>
  <c r="S887" i="5"/>
  <c r="H926" i="5"/>
  <c r="J926" i="5"/>
  <c r="F926" i="5"/>
  <c r="X931"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X1111" i="5"/>
  <c r="J1111" i="5"/>
  <c r="S1122" i="5"/>
  <c r="S1123" i="5"/>
  <c r="AB1138" i="5"/>
  <c r="X1160" i="5"/>
  <c r="J1166" i="5"/>
  <c r="S1172" i="5"/>
  <c r="S1173" i="5"/>
  <c r="S1180" i="5"/>
  <c r="S1181" i="5"/>
  <c r="S1185" i="5"/>
  <c r="S1189" i="5"/>
  <c r="AB1202" i="5"/>
  <c r="S1202" i="5"/>
  <c r="S1205" i="5"/>
  <c r="AB1205" i="5"/>
  <c r="X1209" i="5"/>
  <c r="AB1213" i="5"/>
  <c r="R1229" i="5"/>
  <c r="H1229" i="5"/>
  <c r="F1229" i="5"/>
  <c r="X1229" i="5"/>
  <c r="J1229" i="5"/>
  <c r="S1311" i="5"/>
  <c r="AB822" i="5"/>
  <c r="S883" i="5"/>
  <c r="X888" i="5"/>
  <c r="AB920" i="5"/>
  <c r="S939" i="5"/>
  <c r="AB940" i="5"/>
  <c r="AB952" i="5"/>
  <c r="X954" i="5"/>
  <c r="X966" i="5"/>
  <c r="F973" i="5"/>
  <c r="S975" i="5"/>
  <c r="AB979" i="5"/>
  <c r="S991" i="5"/>
  <c r="S1006" i="5"/>
  <c r="J1011" i="5"/>
  <c r="X1022" i="5"/>
  <c r="J1031" i="5"/>
  <c r="R1035" i="5"/>
  <c r="AB1039" i="5"/>
  <c r="S1051" i="5"/>
  <c r="I1055" i="5"/>
  <c r="X1083" i="5"/>
  <c r="J1083" i="5"/>
  <c r="S1094" i="5"/>
  <c r="S1102" i="5"/>
  <c r="S1103" i="5"/>
  <c r="I1107" i="5"/>
  <c r="AB1111" i="5"/>
  <c r="AB1123" i="5"/>
  <c r="X1126" i="5"/>
  <c r="S1165" i="5"/>
  <c r="R1166" i="5"/>
  <c r="AB1172" i="5"/>
  <c r="R1178" i="5"/>
  <c r="I1178" i="5"/>
  <c r="R1205" i="5"/>
  <c r="J1205" i="5"/>
  <c r="I1205" i="5"/>
  <c r="X1205" i="5"/>
  <c r="H1236" i="5"/>
  <c r="X1236" i="5"/>
  <c r="AB850" i="5"/>
  <c r="AB939" i="5"/>
  <c r="H954" i="5"/>
  <c r="AB1015" i="5"/>
  <c r="AB1035" i="5"/>
  <c r="AB1055" i="5"/>
  <c r="AB1066" i="5"/>
  <c r="AB1083" i="5"/>
  <c r="R1095" i="5"/>
  <c r="F1099" i="5"/>
  <c r="X1103" i="5"/>
  <c r="J1103" i="5"/>
  <c r="S1124" i="5"/>
  <c r="AB1130" i="5"/>
  <c r="I1136" i="5"/>
  <c r="J1136" i="5"/>
  <c r="X1154" i="5"/>
  <c r="F1154" i="5"/>
  <c r="J1154" i="5"/>
  <c r="AB1181" i="5"/>
  <c r="AB1189" i="5"/>
  <c r="S1201" i="5"/>
  <c r="AB1201" i="5"/>
  <c r="R1213" i="5"/>
  <c r="H1213" i="5"/>
  <c r="F1213" i="5"/>
  <c r="X1213" i="5"/>
  <c r="J1213" i="5"/>
  <c r="S1221" i="5"/>
  <c r="AB1221" i="5"/>
  <c r="X1224" i="5"/>
  <c r="J1257" i="5"/>
  <c r="I1257" i="5"/>
  <c r="F1257" i="5"/>
  <c r="H1260" i="5"/>
  <c r="AB1260" i="5"/>
  <c r="AB1487" i="5"/>
  <c r="S1487" i="5"/>
  <c r="S1521" i="5"/>
  <c r="S1828" i="5"/>
  <c r="AB1837" i="5"/>
  <c r="S1837" i="5"/>
  <c r="F957" i="5"/>
  <c r="AB975" i="5"/>
  <c r="AB991" i="5"/>
  <c r="AB1051" i="5"/>
  <c r="S1067" i="5"/>
  <c r="S1075" i="5"/>
  <c r="F1098" i="5"/>
  <c r="X1127"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X1075" i="5"/>
  <c r="J1075" i="5"/>
  <c r="AB1078" i="5"/>
  <c r="H1098" i="5"/>
  <c r="F1111" i="5"/>
  <c r="S1116" i="5"/>
  <c r="AB1127" i="5"/>
  <c r="F1143" i="5"/>
  <c r="X1143" i="5"/>
  <c r="H1154" i="5"/>
  <c r="AB1159" i="5"/>
  <c r="R1161" i="5"/>
  <c r="H1161" i="5"/>
  <c r="AB1168" i="5"/>
  <c r="S1168" i="5"/>
  <c r="X1173" i="5"/>
  <c r="R1186" i="5"/>
  <c r="H1186" i="5"/>
  <c r="H1221" i="5"/>
  <c r="X1221" i="5"/>
  <c r="AB1239" i="5"/>
  <c r="S1239" i="5"/>
  <c r="S968" i="5"/>
  <c r="F991" i="5"/>
  <c r="AB1007" i="5"/>
  <c r="S1016" i="5"/>
  <c r="S1036" i="5"/>
  <c r="AB1047" i="5"/>
  <c r="S1056" i="5"/>
  <c r="AB1075" i="5"/>
  <c r="S1095" i="5"/>
  <c r="S1106" i="5"/>
  <c r="X1119" i="5"/>
  <c r="J1119" i="5"/>
  <c r="S1130" i="5"/>
  <c r="S1151" i="5"/>
  <c r="I1152" i="5"/>
  <c r="X1152" i="5"/>
  <c r="I1154" i="5"/>
  <c r="R1169" i="5"/>
  <c r="X1169" i="5"/>
  <c r="F1173" i="5"/>
  <c r="S1177" i="5"/>
  <c r="AB1184" i="5"/>
  <c r="S1197" i="5"/>
  <c r="J1249" i="5"/>
  <c r="X1249" i="5"/>
  <c r="J1261" i="5"/>
  <c r="I1261" i="5"/>
  <c r="F1261" i="5"/>
  <c r="AB1264" i="5"/>
  <c r="S1264" i="5"/>
  <c r="F1464" i="5"/>
  <c r="X1066" i="5"/>
  <c r="F1066" i="5"/>
  <c r="X1099" i="5"/>
  <c r="H1099" i="5"/>
  <c r="H1173" i="5"/>
  <c r="AB1185" i="5"/>
  <c r="H1189" i="5"/>
  <c r="F1189" i="5"/>
  <c r="R1197" i="5"/>
  <c r="H1197" i="5"/>
  <c r="F1197" i="5"/>
  <c r="X1197" i="5"/>
  <c r="I1204" i="5"/>
  <c r="AB1204" i="5"/>
  <c r="S1229" i="5"/>
  <c r="AB1229" i="5"/>
  <c r="H1289" i="5"/>
  <c r="AB1443" i="5"/>
  <c r="S1443" i="5"/>
  <c r="R1225" i="5"/>
  <c r="I1225" i="5"/>
  <c r="AB1296" i="5"/>
  <c r="S1296" i="5"/>
  <c r="AB1328" i="5"/>
  <c r="S1328" i="5"/>
  <c r="R1349" i="5"/>
  <c r="J1349" i="5"/>
  <c r="H1349" i="5"/>
  <c r="S1354" i="5"/>
  <c r="R1357" i="5"/>
  <c r="J1357" i="5"/>
  <c r="F1449" i="5"/>
  <c r="X1449" i="5"/>
  <c r="S1533" i="5"/>
  <c r="AB1548" i="5"/>
  <c r="S1548" i="5"/>
  <c r="F1628" i="5"/>
  <c r="X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X1225" i="5"/>
  <c r="AB1234" i="5"/>
  <c r="S1246" i="5"/>
  <c r="S1254" i="5"/>
  <c r="S1268" i="5"/>
  <c r="S1288" i="5"/>
  <c r="S1290" i="5"/>
  <c r="S1293" i="5"/>
  <c r="F1301" i="5"/>
  <c r="S1325" i="5"/>
  <c r="F1333" i="5"/>
  <c r="X1336" i="5"/>
  <c r="F1339" i="5"/>
  <c r="AB1356" i="5"/>
  <c r="S1356" i="5"/>
  <c r="F1397" i="5"/>
  <c r="AB1450" i="5"/>
  <c r="X1465" i="5"/>
  <c r="S1541" i="5"/>
  <c r="X1546" i="5"/>
  <c r="J1546" i="5"/>
  <c r="H1546" i="5"/>
  <c r="I1546" i="5"/>
  <c r="F1546" i="5"/>
  <c r="S1676" i="5"/>
  <c r="S1207" i="5"/>
  <c r="S1220" i="5"/>
  <c r="AB1256" i="5"/>
  <c r="AB1269" i="5"/>
  <c r="S1271" i="5"/>
  <c r="S1279" i="5"/>
  <c r="AB1285" i="5"/>
  <c r="F1356" i="5"/>
  <c r="X1356" i="5"/>
  <c r="AB1381" i="5"/>
  <c r="S1384" i="5"/>
  <c r="AB1467" i="5"/>
  <c r="X1729" i="5"/>
  <c r="H1729" i="5"/>
  <c r="F1729" i="5"/>
  <c r="I1729" i="5"/>
  <c r="AB1297" i="5"/>
  <c r="S1317" i="5"/>
  <c r="AB1324" i="5"/>
  <c r="AB1329" i="5"/>
  <c r="AB1342" i="5"/>
  <c r="AB1410" i="5"/>
  <c r="AB1426" i="5"/>
  <c r="AB1434" i="5"/>
  <c r="J1451" i="5"/>
  <c r="AB1466" i="5"/>
  <c r="AB1565" i="5"/>
  <c r="S1580" i="5"/>
  <c r="AB1621" i="5"/>
  <c r="S1727" i="5"/>
  <c r="I1732" i="5"/>
  <c r="F1732" i="5"/>
  <c r="X1732" i="5"/>
  <c r="H1735" i="5"/>
  <c r="X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X1438" i="5"/>
  <c r="AB1449" i="5"/>
  <c r="H1506" i="5"/>
  <c r="AB1507" i="5"/>
  <c r="AB1515" i="5"/>
  <c r="AB1525" i="5"/>
  <c r="S1525" i="5"/>
  <c r="AB1557" i="5"/>
  <c r="AB1577" i="5"/>
  <c r="I1577" i="5"/>
  <c r="J1645" i="5"/>
  <c r="S1692" i="5"/>
  <c r="AB1724" i="5"/>
  <c r="F1724" i="5"/>
  <c r="AB1733" i="5"/>
  <c r="S1733" i="5"/>
  <c r="S1862" i="5"/>
  <c r="I1873" i="5"/>
  <c r="J1873" i="5"/>
  <c r="X1873" i="5"/>
  <c r="R1873" i="5"/>
  <c r="R1945" i="5"/>
  <c r="J1945" i="5"/>
  <c r="I1945" i="5"/>
  <c r="H1945" i="5"/>
  <c r="F1945" i="5"/>
  <c r="X1945" i="5"/>
  <c r="I1956" i="5"/>
  <c r="H1956" i="5"/>
  <c r="F1956" i="5"/>
  <c r="AB1451" i="5"/>
  <c r="J1515" i="5"/>
  <c r="X1515" i="5"/>
  <c r="AB1597" i="5"/>
  <c r="S1612" i="5"/>
  <c r="AB1632" i="5"/>
  <c r="S1655" i="5"/>
  <c r="S1687" i="5"/>
  <c r="X1721" i="5"/>
  <c r="I1721" i="5"/>
  <c r="H1721" i="5"/>
  <c r="F1721" i="5"/>
  <c r="F1728" i="5"/>
  <c r="AB1782" i="5"/>
  <c r="AB1801" i="5"/>
  <c r="F1801" i="5"/>
  <c r="AB1813" i="5"/>
  <c r="F1939" i="5"/>
  <c r="X1939" i="5"/>
  <c r="H1304" i="5"/>
  <c r="S1339" i="5"/>
  <c r="AB1360" i="5"/>
  <c r="F1371" i="5"/>
  <c r="F1380" i="5"/>
  <c r="F1450" i="5"/>
  <c r="X1451" i="5"/>
  <c r="I1468" i="5"/>
  <c r="AB1481" i="5"/>
  <c r="S1481" i="5"/>
  <c r="H1491" i="5"/>
  <c r="S1499" i="5"/>
  <c r="H1508" i="5"/>
  <c r="S1523" i="5"/>
  <c r="I1525" i="5"/>
  <c r="AB1529" i="5"/>
  <c r="S1529" i="5"/>
  <c r="AB1569" i="5"/>
  <c r="X1625" i="5"/>
  <c r="H1625" i="5"/>
  <c r="X1629" i="5"/>
  <c r="I1629" i="5"/>
  <c r="H1629" i="5"/>
  <c r="F1629" i="5"/>
  <c r="AB1639" i="5"/>
  <c r="S1639" i="5"/>
  <c r="S1652" i="5"/>
  <c r="AB1669" i="5"/>
  <c r="X1689" i="5"/>
  <c r="H1689" i="5"/>
  <c r="F1689" i="5"/>
  <c r="AB1713" i="5"/>
  <c r="AB1740" i="5"/>
  <c r="S1740" i="5"/>
  <c r="H1770" i="5"/>
  <c r="AB1770" i="5"/>
  <c r="S1805" i="5"/>
  <c r="AB1805" i="5"/>
  <c r="F1813" i="5"/>
  <c r="X1813" i="5"/>
  <c r="X1840"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X1816" i="5"/>
  <c r="J1816" i="5"/>
  <c r="R1893" i="5"/>
  <c r="F1893" i="5"/>
  <c r="X1893" i="5"/>
  <c r="J1893" i="5"/>
  <c r="I1893" i="5"/>
  <c r="AB1232" i="5"/>
  <c r="AB1248" i="5"/>
  <c r="S1267" i="5"/>
  <c r="S1286" i="5"/>
  <c r="S1299" i="5"/>
  <c r="S1318" i="5"/>
  <c r="S1320" i="5"/>
  <c r="S1331" i="5"/>
  <c r="AB1336" i="5"/>
  <c r="S1358" i="5"/>
  <c r="S1380" i="5"/>
  <c r="AB1389" i="5"/>
  <c r="S1423" i="5"/>
  <c r="S1425" i="5"/>
  <c r="S1433" i="5"/>
  <c r="X1447" i="5"/>
  <c r="S1449" i="5"/>
  <c r="H1451" i="5"/>
  <c r="I1452" i="5"/>
  <c r="X1454" i="5"/>
  <c r="S1459" i="5"/>
  <c r="S1461" i="5"/>
  <c r="AB1483" i="5"/>
  <c r="AB1495" i="5"/>
  <c r="AB1505" i="5"/>
  <c r="AB1509" i="5"/>
  <c r="S1509" i="5"/>
  <c r="R1522" i="5"/>
  <c r="R1534" i="5"/>
  <c r="F1534" i="5"/>
  <c r="AB1538" i="5"/>
  <c r="AB1586" i="5"/>
  <c r="S1604" i="5"/>
  <c r="AB1628" i="5"/>
  <c r="H1633" i="5"/>
  <c r="S1647" i="5"/>
  <c r="X1649" i="5"/>
  <c r="I1649" i="5"/>
  <c r="H1649" i="5"/>
  <c r="F1649" i="5"/>
  <c r="AB1684" i="5"/>
  <c r="F1684" i="5"/>
  <c r="AB1708" i="5"/>
  <c r="X1708" i="5"/>
  <c r="AB1799" i="5"/>
  <c r="S1799" i="5"/>
  <c r="I1843" i="5"/>
  <c r="H1843" i="5"/>
  <c r="R1908" i="5"/>
  <c r="I1908" i="5"/>
  <c r="R1916" i="5"/>
  <c r="I1916" i="5"/>
  <c r="F1277" i="5"/>
  <c r="S1282" i="5"/>
  <c r="F1309" i="5"/>
  <c r="S1314" i="5"/>
  <c r="AB1361" i="5"/>
  <c r="AB1425" i="5"/>
  <c r="AB1433" i="5"/>
  <c r="H1455" i="5"/>
  <c r="AB1465" i="5"/>
  <c r="X1470" i="5"/>
  <c r="R1486" i="5"/>
  <c r="R1490" i="5"/>
  <c r="S1493" i="5"/>
  <c r="I1495" i="5"/>
  <c r="X1495" i="5"/>
  <c r="AB1503" i="5"/>
  <c r="S1503" i="5"/>
  <c r="S1527" i="5"/>
  <c r="AB1535" i="5"/>
  <c r="S1535" i="5"/>
  <c r="AB1601" i="5"/>
  <c r="I1625" i="5"/>
  <c r="AB1693" i="5"/>
  <c r="AB1703" i="5"/>
  <c r="S1703" i="5"/>
  <c r="X1705"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X1848" i="5"/>
  <c r="R1848" i="5"/>
  <c r="J1848" i="5"/>
  <c r="F1848" i="5"/>
  <c r="R1877" i="5"/>
  <c r="J1877" i="5"/>
  <c r="H1877" i="5"/>
  <c r="F1877" i="5"/>
  <c r="AB1926" i="5"/>
  <c r="S1926" i="5"/>
  <c r="AB1928" i="5"/>
  <c r="I1933" i="5"/>
  <c r="H1933" i="5"/>
  <c r="F1933" i="5"/>
  <c r="X1933" i="5"/>
  <c r="R1933" i="5"/>
  <c r="S1946" i="5"/>
  <c r="I1948" i="5"/>
  <c r="H1948" i="5"/>
  <c r="R1981" i="5"/>
  <c r="F1981" i="5"/>
  <c r="J1981" i="5"/>
  <c r="I1981" i="5"/>
  <c r="H1981" i="5"/>
  <c r="X1981" i="5"/>
  <c r="F2043" i="5"/>
  <c r="AB1697" i="5"/>
  <c r="S1753" i="5"/>
  <c r="S1854" i="5"/>
  <c r="R1884" i="5"/>
  <c r="I1884" i="5"/>
  <c r="J1961" i="5"/>
  <c r="I1961" i="5"/>
  <c r="H1961" i="5"/>
  <c r="F1961" i="5"/>
  <c r="X1961" i="5"/>
  <c r="F1988" i="5"/>
  <c r="I1988" i="5"/>
  <c r="H1988" i="5"/>
  <c r="J2029" i="5"/>
  <c r="I2029" i="5"/>
  <c r="X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X1844" i="5"/>
  <c r="J1844" i="5"/>
  <c r="I1844" i="5"/>
  <c r="H1844" i="5"/>
  <c r="S1858" i="5"/>
  <c r="S1866" i="5"/>
  <c r="S1890" i="5"/>
  <c r="R1892" i="5"/>
  <c r="I1892" i="5"/>
  <c r="I1897" i="5"/>
  <c r="R1897" i="5"/>
  <c r="R1901" i="5"/>
  <c r="J1901" i="5"/>
  <c r="I1901" i="5"/>
  <c r="F1901" i="5"/>
  <c r="X1901" i="5"/>
  <c r="R1949" i="5"/>
  <c r="J1949" i="5"/>
  <c r="I1949" i="5"/>
  <c r="H1949" i="5"/>
  <c r="F1949" i="5"/>
  <c r="X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X1824" i="5"/>
  <c r="I1824" i="5"/>
  <c r="S1830" i="5"/>
  <c r="F1844" i="5"/>
  <c r="AB1855" i="5"/>
  <c r="F1855" i="5"/>
  <c r="I1881" i="5"/>
  <c r="R1881" i="5"/>
  <c r="J1881" i="5"/>
  <c r="J1897" i="5"/>
  <c r="H1901" i="5"/>
  <c r="R1912" i="5"/>
  <c r="I1912" i="5"/>
  <c r="H1921" i="5"/>
  <c r="F1921" i="5"/>
  <c r="X1921" i="5"/>
  <c r="R1921" i="5"/>
  <c r="J1921" i="5"/>
  <c r="I1929" i="5"/>
  <c r="H1929" i="5"/>
  <c r="F1929" i="5"/>
  <c r="X1929" i="5"/>
  <c r="R1929" i="5"/>
  <c r="I1964" i="5"/>
  <c r="H1964" i="5"/>
  <c r="F1964" i="5"/>
  <c r="X1969" i="5"/>
  <c r="R1969" i="5"/>
  <c r="J1969" i="5"/>
  <c r="I1969" i="5"/>
  <c r="H1969" i="5"/>
  <c r="AB1972" i="5"/>
  <c r="I2033" i="5"/>
  <c r="F2033" i="5"/>
  <c r="X2033" i="5"/>
  <c r="R2033" i="5"/>
  <c r="J2033" i="5"/>
  <c r="H2033" i="5"/>
  <c r="X2041" i="5"/>
  <c r="R2041" i="5"/>
  <c r="H2041" i="5"/>
  <c r="J2041" i="5"/>
  <c r="I2041" i="5"/>
  <c r="F2041" i="5"/>
  <c r="X2057"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X1977" i="5"/>
  <c r="J1977" i="5"/>
  <c r="R1977" i="5"/>
  <c r="I1977" i="5"/>
  <c r="H1977" i="5"/>
  <c r="F1977" i="5"/>
  <c r="J1985" i="5"/>
  <c r="X1985" i="5"/>
  <c r="I1985" i="5"/>
  <c r="H1985" i="5"/>
  <c r="F1985" i="5"/>
  <c r="R1997" i="5"/>
  <c r="J1997" i="5"/>
  <c r="F1997" i="5"/>
  <c r="I1997" i="5"/>
  <c r="H1997" i="5"/>
  <c r="X1997" i="5"/>
  <c r="F2023" i="5"/>
  <c r="J1913" i="5"/>
  <c r="I1913" i="5"/>
  <c r="H1913" i="5"/>
  <c r="F1913" i="5"/>
  <c r="R1925" i="5"/>
  <c r="J1925" i="5"/>
  <c r="I1925" i="5"/>
  <c r="F1925" i="5"/>
  <c r="X1925" i="5"/>
  <c r="I1932" i="5"/>
  <c r="H1932" i="5"/>
  <c r="F1932" i="5"/>
  <c r="I1960" i="5"/>
  <c r="H1960" i="5"/>
  <c r="F1960" i="5"/>
  <c r="I1965" i="5"/>
  <c r="H1965" i="5"/>
  <c r="F1965" i="5"/>
  <c r="X1965" i="5"/>
  <c r="R1965" i="5"/>
  <c r="S1978" i="5"/>
  <c r="F1980" i="5"/>
  <c r="I1980" i="5"/>
  <c r="H1980" i="5"/>
  <c r="I2008" i="5"/>
  <c r="H2008" i="5"/>
  <c r="F2008" i="5"/>
  <c r="F2036" i="5"/>
  <c r="I2036" i="5"/>
  <c r="H2036" i="5"/>
  <c r="S1832" i="5"/>
  <c r="J1836" i="5"/>
  <c r="AB1843" i="5"/>
  <c r="J1874" i="5"/>
  <c r="AB1885" i="5"/>
  <c r="R1889" i="5"/>
  <c r="R1905" i="5"/>
  <c r="I1909" i="5"/>
  <c r="F1917" i="5"/>
  <c r="AB1919" i="5"/>
  <c r="AB1932" i="5"/>
  <c r="X1936" i="5"/>
  <c r="J1937" i="5"/>
  <c r="AB1939" i="5"/>
  <c r="F1953" i="5"/>
  <c r="F1957" i="5"/>
  <c r="F1959" i="5"/>
  <c r="AB1964" i="5"/>
  <c r="H1968" i="5"/>
  <c r="I1973" i="5"/>
  <c r="AB1983" i="5"/>
  <c r="S1983" i="5"/>
  <c r="I1984" i="5"/>
  <c r="AB1994" i="5"/>
  <c r="AB1998" i="5"/>
  <c r="S1998" i="5"/>
  <c r="F2017" i="5"/>
  <c r="X2045"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X2117"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X1937" i="5"/>
  <c r="S1951" i="5"/>
  <c r="AB1952" i="5"/>
  <c r="S1955" i="5"/>
  <c r="AB1956" i="5"/>
  <c r="S1966" i="5"/>
  <c r="S1971" i="5"/>
  <c r="F1976" i="5"/>
  <c r="S1991" i="5"/>
  <c r="X1993" i="5"/>
  <c r="AB2000" i="5"/>
  <c r="F2004" i="5"/>
  <c r="J2013" i="5"/>
  <c r="I2013" i="5"/>
  <c r="X2013" i="5"/>
  <c r="R2016" i="5"/>
  <c r="H2028" i="5"/>
  <c r="AB2032" i="5"/>
  <c r="AB2064" i="5"/>
  <c r="AB2072" i="5"/>
  <c r="S2078" i="5"/>
  <c r="H2081" i="5"/>
  <c r="J2081" i="5"/>
  <c r="I2081" i="5"/>
  <c r="S2092" i="5"/>
  <c r="H2117" i="5"/>
  <c r="S2121" i="5"/>
  <c r="AB2121" i="5"/>
  <c r="S2177" i="5"/>
  <c r="AB2177" i="5"/>
  <c r="R2308" i="5"/>
  <c r="J2308" i="5"/>
  <c r="S1875" i="5"/>
  <c r="AB1877" i="5"/>
  <c r="H1890" i="5"/>
  <c r="H1906" i="5"/>
  <c r="X1909" i="5"/>
  <c r="S1915" i="5"/>
  <c r="S1934" i="5"/>
  <c r="F1937" i="5"/>
  <c r="AB1944" i="5"/>
  <c r="H1976" i="5"/>
  <c r="F1989" i="5"/>
  <c r="X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X2264" i="5"/>
  <c r="AB1834" i="5"/>
  <c r="AB1838" i="5"/>
  <c r="AB1856" i="5"/>
  <c r="AB1883" i="5"/>
  <c r="AB1911" i="5"/>
  <c r="S1947" i="5"/>
  <c r="AB1948" i="5"/>
  <c r="AB1954" i="5"/>
  <c r="AB1958" i="5"/>
  <c r="S1959" i="5"/>
  <c r="AB1967" i="5"/>
  <c r="X1973" i="5"/>
  <c r="AB1975" i="5"/>
  <c r="S1975" i="5"/>
  <c r="I1976" i="5"/>
  <c r="F1984" i="5"/>
  <c r="AB1990" i="5"/>
  <c r="S1990" i="5"/>
  <c r="I1993" i="5"/>
  <c r="AB1996" i="5"/>
  <c r="S1999" i="5"/>
  <c r="H2001" i="5"/>
  <c r="F2001" i="5"/>
  <c r="I2004" i="5"/>
  <c r="X2005" i="5"/>
  <c r="J2005" i="5"/>
  <c r="F2020" i="5"/>
  <c r="H2021" i="5"/>
  <c r="X2021" i="5"/>
  <c r="J2021" i="5"/>
  <c r="X2025" i="5"/>
  <c r="AB2043" i="5"/>
  <c r="I2048" i="5"/>
  <c r="R2087" i="5"/>
  <c r="X2087" i="5"/>
  <c r="R2092" i="5"/>
  <c r="F2118" i="5"/>
  <c r="I2118" i="5"/>
  <c r="R2118" i="5"/>
  <c r="AB2154" i="5"/>
  <c r="S2169" i="5"/>
  <c r="X2177"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X2229" i="5"/>
  <c r="R2229" i="5"/>
  <c r="J2229" i="5"/>
  <c r="H2229" i="5"/>
  <c r="F2229" i="5"/>
  <c r="H2256" i="5"/>
  <c r="X2256" i="5"/>
  <c r="AB2116" i="5"/>
  <c r="F2116" i="5"/>
  <c r="S2124" i="5"/>
  <c r="F2132" i="5"/>
  <c r="X2132" i="5"/>
  <c r="H2137" i="5"/>
  <c r="X2161" i="5"/>
  <c r="I2241" i="5"/>
  <c r="R2241" i="5"/>
  <c r="J2241" i="5"/>
  <c r="H2241" i="5"/>
  <c r="F2241" i="5"/>
  <c r="S2281" i="5"/>
  <c r="H2353" i="5"/>
  <c r="X2353" i="5"/>
  <c r="R2353" i="5"/>
  <c r="J2353" i="5"/>
  <c r="I2353" i="5"/>
  <c r="AB2448" i="5"/>
  <c r="S2448" i="5"/>
  <c r="J2452" i="5"/>
  <c r="F2452" i="5"/>
  <c r="X2452" i="5"/>
  <c r="R2452" i="5"/>
  <c r="I2452" i="5"/>
  <c r="H2452" i="5"/>
  <c r="S2011" i="5"/>
  <c r="AB2019" i="5"/>
  <c r="AB2024" i="5"/>
  <c r="AB2047" i="5"/>
  <c r="AB2087" i="5"/>
  <c r="AB2099" i="5"/>
  <c r="AB2109" i="5"/>
  <c r="S2125" i="5"/>
  <c r="I2137" i="5"/>
  <c r="S2165" i="5"/>
  <c r="H2236" i="5"/>
  <c r="F2236" i="5"/>
  <c r="X2241" i="5"/>
  <c r="J2294" i="5"/>
  <c r="I2294" i="5"/>
  <c r="H2294" i="5"/>
  <c r="F2294" i="5"/>
  <c r="S2346" i="5"/>
  <c r="AB2346" i="5"/>
  <c r="AB2026" i="5"/>
  <c r="AB2035" i="5"/>
  <c r="AB2055" i="5"/>
  <c r="AB2070" i="5"/>
  <c r="AB2076" i="5"/>
  <c r="AB2117" i="5"/>
  <c r="I2125" i="5"/>
  <c r="X2125" i="5"/>
  <c r="S2153" i="5"/>
  <c r="AB2153" i="5"/>
  <c r="R2162" i="5"/>
  <c r="I2162" i="5"/>
  <c r="H2162" i="5"/>
  <c r="AB2204" i="5"/>
  <c r="S2228" i="5"/>
  <c r="H2260" i="5"/>
  <c r="F2260" i="5"/>
  <c r="X2260" i="5"/>
  <c r="AB2272" i="5"/>
  <c r="S2272" i="5"/>
  <c r="AB2279" i="5"/>
  <c r="S2279" i="5"/>
  <c r="X2305"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X2477" i="5"/>
  <c r="J2477" i="5"/>
  <c r="I2477" i="5"/>
  <c r="H2477" i="5"/>
  <c r="H2488" i="5"/>
  <c r="F2488" i="5"/>
  <c r="X2488" i="5"/>
  <c r="AB2189" i="5"/>
  <c r="AB2218" i="5"/>
  <c r="J2309" i="5"/>
  <c r="R2351" i="5"/>
  <c r="J2351" i="5"/>
  <c r="I2351" i="5"/>
  <c r="F2351" i="5"/>
  <c r="X2351" i="5"/>
  <c r="H2355" i="5"/>
  <c r="F2355" i="5"/>
  <c r="R2355" i="5"/>
  <c r="J2355" i="5"/>
  <c r="I2355" i="5"/>
  <c r="H2425" i="5"/>
  <c r="AB2438" i="5"/>
  <c r="S2438" i="5"/>
  <c r="H2443" i="5"/>
  <c r="I2443" i="5"/>
  <c r="F2443" i="5"/>
  <c r="R2443" i="5"/>
  <c r="J2443" i="5"/>
  <c r="I2492" i="5"/>
  <c r="F2492" i="5"/>
  <c r="X2492" i="5"/>
  <c r="AB2137" i="5"/>
  <c r="I2150" i="5"/>
  <c r="F2157" i="5"/>
  <c r="S2180" i="5"/>
  <c r="S2183" i="5"/>
  <c r="S2187" i="5"/>
  <c r="X2218" i="5"/>
  <c r="AB2221" i="5"/>
  <c r="S2226" i="5"/>
  <c r="AB2248" i="5"/>
  <c r="AB2257" i="5"/>
  <c r="AB2261" i="5"/>
  <c r="AB2265" i="5"/>
  <c r="AB2275" i="5"/>
  <c r="AB2302" i="5"/>
  <c r="H2303" i="5"/>
  <c r="AB2307" i="5"/>
  <c r="X2309" i="5"/>
  <c r="X2346" i="5"/>
  <c r="J2346" i="5"/>
  <c r="I2346" i="5"/>
  <c r="F2346" i="5"/>
  <c r="H2351" i="5"/>
  <c r="X2443" i="5"/>
  <c r="H2492" i="5"/>
  <c r="AB2112" i="5"/>
  <c r="J2150" i="5"/>
  <c r="AB2185" i="5"/>
  <c r="AB2197" i="5"/>
  <c r="AB2200" i="5"/>
  <c r="AB2213" i="5"/>
  <c r="AB2216" i="5"/>
  <c r="X2221" i="5"/>
  <c r="AB2253" i="5"/>
  <c r="X2261" i="5"/>
  <c r="S2270" i="5"/>
  <c r="AB2277" i="5"/>
  <c r="AB2293" i="5"/>
  <c r="J2293" i="5"/>
  <c r="S2296" i="5"/>
  <c r="I2303" i="5"/>
  <c r="F2309" i="5"/>
  <c r="F2310" i="5"/>
  <c r="S2315" i="5"/>
  <c r="S2322" i="5"/>
  <c r="F2329" i="5"/>
  <c r="H2329" i="5"/>
  <c r="AB2345" i="5"/>
  <c r="J2359" i="5"/>
  <c r="R2359" i="5"/>
  <c r="H2359" i="5"/>
  <c r="X2359" i="5"/>
  <c r="R2385" i="5"/>
  <c r="J2385" i="5"/>
  <c r="I2385" i="5"/>
  <c r="H2385" i="5"/>
  <c r="F2385" i="5"/>
  <c r="X2385" i="5"/>
  <c r="H2429" i="5"/>
  <c r="H2441" i="5"/>
  <c r="F2441" i="5"/>
  <c r="R2441" i="5"/>
  <c r="J2441" i="5"/>
  <c r="I2441" i="5"/>
  <c r="X2451" i="5"/>
  <c r="F2451" i="5"/>
  <c r="R2461" i="5"/>
  <c r="I2461" i="5"/>
  <c r="F2461" i="5"/>
  <c r="X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X2367" i="5"/>
  <c r="J2375" i="5"/>
  <c r="R2375" i="5"/>
  <c r="H2375" i="5"/>
  <c r="X2375" i="5"/>
  <c r="AB2410" i="5"/>
  <c r="F2429" i="5"/>
  <c r="X2441" i="5"/>
  <c r="H2461" i="5"/>
  <c r="AB2161" i="5"/>
  <c r="AB2180" i="5"/>
  <c r="AB2181" i="5"/>
  <c r="AB2212" i="5"/>
  <c r="AB2245" i="5"/>
  <c r="X2249" i="5"/>
  <c r="AB2268" i="5"/>
  <c r="X2273" i="5"/>
  <c r="F2282" i="5"/>
  <c r="AB2313" i="5"/>
  <c r="AB2316" i="5"/>
  <c r="X2333"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X2345"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X2469"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X2364" i="5"/>
  <c r="X2365" i="5"/>
  <c r="X2372" i="5"/>
  <c r="X2380" i="5"/>
  <c r="AB2387" i="5"/>
  <c r="AB2396" i="5"/>
  <c r="S2403" i="5"/>
  <c r="AB2414" i="5"/>
  <c r="AB2425" i="5"/>
  <c r="J2433" i="5"/>
  <c r="AB2436" i="5"/>
  <c r="S2456" i="5"/>
  <c r="AB2457" i="5"/>
  <c r="S2458" i="5"/>
  <c r="I2469" i="5"/>
  <c r="S2471" i="5"/>
  <c r="AB2472" i="5"/>
  <c r="AB2504" i="5"/>
  <c r="F19" i="6"/>
  <c r="X341" i="5"/>
  <c r="X304" i="5"/>
  <c r="AB23" i="5"/>
  <c r="X28" i="5"/>
  <c r="AB115" i="5"/>
  <c r="F146" i="5"/>
  <c r="R146" i="5"/>
  <c r="J146" i="5"/>
  <c r="J149" i="5"/>
  <c r="I149" i="5"/>
  <c r="H149" i="5"/>
  <c r="AB179" i="5"/>
  <c r="AB201" i="5"/>
  <c r="H234" i="5"/>
  <c r="F234" i="5"/>
  <c r="R234" i="5"/>
  <c r="J234" i="5"/>
  <c r="I234" i="5"/>
  <c r="H254" i="5"/>
  <c r="F254" i="5"/>
  <c r="X254" i="5"/>
  <c r="R254" i="5"/>
  <c r="J254" i="5"/>
  <c r="I254" i="5"/>
  <c r="H286" i="5"/>
  <c r="F286" i="5"/>
  <c r="X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X270" i="5"/>
  <c r="R270" i="5"/>
  <c r="J270" i="5"/>
  <c r="I270" i="5"/>
  <c r="R311" i="5"/>
  <c r="H311" i="5"/>
  <c r="I311" i="5"/>
  <c r="F311" i="5"/>
  <c r="J311" i="5"/>
  <c r="R5" i="5"/>
  <c r="H6"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X125" i="5"/>
  <c r="F126" i="5"/>
  <c r="R126" i="5"/>
  <c r="J126" i="5"/>
  <c r="AB127" i="5"/>
  <c r="J129" i="5"/>
  <c r="I129" i="5"/>
  <c r="H129" i="5"/>
  <c r="AB136" i="5"/>
  <c r="AB149" i="5"/>
  <c r="H154" i="5"/>
  <c r="X157" i="5"/>
  <c r="F158" i="5"/>
  <c r="R158" i="5"/>
  <c r="J158" i="5"/>
  <c r="AB159" i="5"/>
  <c r="J161" i="5"/>
  <c r="I161" i="5"/>
  <c r="H161" i="5"/>
  <c r="AB168" i="5"/>
  <c r="X178" i="5"/>
  <c r="AB181" i="5"/>
  <c r="H186" i="5"/>
  <c r="F190" i="5"/>
  <c r="R190" i="5"/>
  <c r="J190" i="5"/>
  <c r="AB191" i="5"/>
  <c r="J193" i="5"/>
  <c r="I193" i="5"/>
  <c r="H193" i="5"/>
  <c r="AB200" i="5"/>
  <c r="F218" i="5"/>
  <c r="R218" i="5"/>
  <c r="J218" i="5"/>
  <c r="I218" i="5"/>
  <c r="AB220" i="5"/>
  <c r="H238" i="5"/>
  <c r="F238" i="5"/>
  <c r="X238" i="5"/>
  <c r="R238" i="5"/>
  <c r="J238" i="5"/>
  <c r="I238" i="5"/>
  <c r="AB244" i="5"/>
  <c r="AB260" i="5"/>
  <c r="AB276" i="5"/>
  <c r="AB292" i="5"/>
  <c r="AB5" i="5"/>
  <c r="I6"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X258" i="5"/>
  <c r="R258" i="5"/>
  <c r="J258" i="5"/>
  <c r="I258" i="5"/>
  <c r="H274" i="5"/>
  <c r="F274" i="5"/>
  <c r="X274" i="5"/>
  <c r="R274" i="5"/>
  <c r="J274" i="5"/>
  <c r="I274" i="5"/>
  <c r="R323" i="5"/>
  <c r="H323" i="5"/>
  <c r="J323" i="5"/>
  <c r="I323" i="5"/>
  <c r="F323" i="5"/>
  <c r="AB360" i="5"/>
  <c r="X371" i="5"/>
  <c r="R371" i="5"/>
  <c r="J371" i="5"/>
  <c r="H371" i="5"/>
  <c r="I371" i="5"/>
  <c r="F371" i="5"/>
  <c r="R383" i="5"/>
  <c r="J383" i="5"/>
  <c r="H383" i="5"/>
  <c r="I383" i="5"/>
  <c r="F383" i="5"/>
  <c r="AB119" i="5"/>
  <c r="AB151" i="5"/>
  <c r="J153" i="5"/>
  <c r="I153" i="5"/>
  <c r="H153" i="5"/>
  <c r="AB173" i="5"/>
  <c r="H178" i="5"/>
  <c r="X181" i="5"/>
  <c r="F182" i="5"/>
  <c r="R182" i="5"/>
  <c r="J182" i="5"/>
  <c r="AB183" i="5"/>
  <c r="J185" i="5"/>
  <c r="I185" i="5"/>
  <c r="H185" i="5"/>
  <c r="AB205" i="5"/>
  <c r="AB212" i="5"/>
  <c r="AB248" i="5"/>
  <c r="AB264" i="5"/>
  <c r="AB280" i="5"/>
  <c r="AB296" i="5"/>
  <c r="R319" i="5"/>
  <c r="H319" i="5"/>
  <c r="I319" i="5"/>
  <c r="F319" i="5"/>
  <c r="J319" i="5"/>
  <c r="AB328" i="5"/>
  <c r="X351" i="5"/>
  <c r="R351" i="5"/>
  <c r="J351" i="5"/>
  <c r="H351" i="5"/>
  <c r="I351" i="5"/>
  <c r="F351" i="5"/>
  <c r="AB358" i="5"/>
  <c r="J28" i="5"/>
  <c r="F28" i="5"/>
  <c r="H20" i="5"/>
  <c r="H114" i="5"/>
  <c r="F118" i="5"/>
  <c r="R118" i="5"/>
  <c r="J118" i="5"/>
  <c r="X5" i="5"/>
  <c r="I20" i="5"/>
  <c r="J24" i="5"/>
  <c r="F24"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X209" i="5"/>
  <c r="R213" i="5"/>
  <c r="J213" i="5"/>
  <c r="I213" i="5"/>
  <c r="H213" i="5"/>
  <c r="F222" i="5"/>
  <c r="X222" i="5"/>
  <c r="R222" i="5"/>
  <c r="J222" i="5"/>
  <c r="I222" i="5"/>
  <c r="AB224" i="5"/>
  <c r="H246" i="5"/>
  <c r="F246" i="5"/>
  <c r="R246" i="5"/>
  <c r="J246" i="5"/>
  <c r="I246" i="5"/>
  <c r="H278" i="5"/>
  <c r="F278" i="5"/>
  <c r="R278" i="5"/>
  <c r="J278" i="5"/>
  <c r="I278" i="5"/>
  <c r="H294" i="5"/>
  <c r="F294" i="5"/>
  <c r="X294" i="5"/>
  <c r="R294" i="5"/>
  <c r="J294" i="5"/>
  <c r="I294" i="5"/>
  <c r="R307" i="5"/>
  <c r="H307" i="5"/>
  <c r="J307" i="5"/>
  <c r="I307" i="5"/>
  <c r="F307" i="5"/>
  <c r="X307" i="5"/>
  <c r="AB408" i="5"/>
  <c r="H28" i="5"/>
  <c r="AB109" i="5"/>
  <c r="X117" i="5"/>
  <c r="J121" i="5"/>
  <c r="I121" i="5"/>
  <c r="H121" i="5"/>
  <c r="AB141" i="5"/>
  <c r="H146" i="5"/>
  <c r="F150" i="5"/>
  <c r="R150" i="5"/>
  <c r="J150" i="5"/>
  <c r="AB19" i="5"/>
  <c r="AB27" i="5"/>
  <c r="X29" i="5"/>
  <c r="F5" i="5"/>
  <c r="H18" i="5"/>
  <c r="F21" i="5"/>
  <c r="X24" i="5"/>
  <c r="H26" i="5"/>
  <c r="R28" i="5"/>
  <c r="F29" i="5"/>
  <c r="X32" i="5"/>
  <c r="AB36" i="5"/>
  <c r="AB40" i="5"/>
  <c r="AB44" i="5"/>
  <c r="AB48" i="5"/>
  <c r="AB52" i="5"/>
  <c r="AB56" i="5"/>
  <c r="AB60" i="5"/>
  <c r="AB64" i="5"/>
  <c r="AB68" i="5"/>
  <c r="AB72" i="5"/>
  <c r="AB76" i="5"/>
  <c r="AB80" i="5"/>
  <c r="AB84" i="5"/>
  <c r="AB88" i="5"/>
  <c r="AB92" i="5"/>
  <c r="AB96" i="5"/>
  <c r="AB100" i="5"/>
  <c r="AB101" i="5"/>
  <c r="H106" i="5"/>
  <c r="X109" i="5"/>
  <c r="F110" i="5"/>
  <c r="R110" i="5"/>
  <c r="J110" i="5"/>
  <c r="AB111" i="5"/>
  <c r="J113" i="5"/>
  <c r="I113" i="5"/>
  <c r="H113" i="5"/>
  <c r="AB120" i="5"/>
  <c r="AB133" i="5"/>
  <c r="H138" i="5"/>
  <c r="X141" i="5"/>
  <c r="F142" i="5"/>
  <c r="R142" i="5"/>
  <c r="J142" i="5"/>
  <c r="AB143" i="5"/>
  <c r="J145" i="5"/>
  <c r="I145" i="5"/>
  <c r="H145" i="5"/>
  <c r="AB152" i="5"/>
  <c r="AB165" i="5"/>
  <c r="H170" i="5"/>
  <c r="X173" i="5"/>
  <c r="F174" i="5"/>
  <c r="R174" i="5"/>
  <c r="J174" i="5"/>
  <c r="AB175" i="5"/>
  <c r="J177" i="5"/>
  <c r="I177" i="5"/>
  <c r="H177" i="5"/>
  <c r="AB184" i="5"/>
  <c r="AB197" i="5"/>
  <c r="H202" i="5"/>
  <c r="X205" i="5"/>
  <c r="AB208" i="5"/>
  <c r="F209" i="5"/>
  <c r="H210" i="5"/>
  <c r="AB228" i="5"/>
  <c r="AB252" i="5"/>
  <c r="AB268" i="5"/>
  <c r="AB284" i="5"/>
  <c r="AB300" i="5"/>
  <c r="AB303" i="5"/>
  <c r="AB312" i="5"/>
  <c r="R331" i="5"/>
  <c r="H331" i="5"/>
  <c r="J331" i="5"/>
  <c r="I331" i="5"/>
  <c r="F331" i="5"/>
  <c r="X384"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X153" i="5"/>
  <c r="F154" i="5"/>
  <c r="R154" i="5"/>
  <c r="J154" i="5"/>
  <c r="AB155" i="5"/>
  <c r="J157" i="5"/>
  <c r="I157" i="5"/>
  <c r="H157" i="5"/>
  <c r="AB177" i="5"/>
  <c r="R181" i="5"/>
  <c r="H182" i="5"/>
  <c r="X185" i="5"/>
  <c r="F186" i="5"/>
  <c r="R186" i="5"/>
  <c r="J186" i="5"/>
  <c r="AB187" i="5"/>
  <c r="R209" i="5"/>
  <c r="F214" i="5"/>
  <c r="R214" i="5"/>
  <c r="J214" i="5"/>
  <c r="I214" i="5"/>
  <c r="AB216" i="5"/>
  <c r="H226" i="5"/>
  <c r="F226" i="5"/>
  <c r="R226" i="5"/>
  <c r="J226" i="5"/>
  <c r="I226" i="5"/>
  <c r="AB232" i="5"/>
  <c r="H250" i="5"/>
  <c r="F250" i="5"/>
  <c r="R250" i="5"/>
  <c r="J250" i="5"/>
  <c r="I250" i="5"/>
  <c r="H266" i="5"/>
  <c r="F266" i="5"/>
  <c r="X266" i="5"/>
  <c r="R266" i="5"/>
  <c r="J266" i="5"/>
  <c r="I266" i="5"/>
  <c r="H282" i="5"/>
  <c r="F282" i="5"/>
  <c r="R282" i="5"/>
  <c r="J282" i="5"/>
  <c r="I282" i="5"/>
  <c r="H298" i="5"/>
  <c r="F298" i="5"/>
  <c r="X298" i="5"/>
  <c r="R298" i="5"/>
  <c r="J298" i="5"/>
  <c r="I298" i="5"/>
  <c r="R327" i="5"/>
  <c r="H327" i="5"/>
  <c r="I327" i="5"/>
  <c r="F327" i="5"/>
  <c r="J327" i="5"/>
  <c r="X352" i="5"/>
  <c r="J352" i="5"/>
  <c r="R352" i="5"/>
  <c r="I352" i="5"/>
  <c r="H352" i="5"/>
  <c r="F352" i="5"/>
  <c r="AB361" i="5"/>
  <c r="I470" i="5"/>
  <c r="H470" i="5"/>
  <c r="F470" i="5"/>
  <c r="X470" i="5"/>
  <c r="R470" i="5"/>
  <c r="J470" i="5"/>
  <c r="I494" i="5"/>
  <c r="H494" i="5"/>
  <c r="X494" i="5"/>
  <c r="R494" i="5"/>
  <c r="J494" i="5"/>
  <c r="F494" i="5"/>
  <c r="F6"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I5" i="5"/>
  <c r="R18" i="5"/>
  <c r="F19" i="5"/>
  <c r="I21" i="5"/>
  <c r="R23" i="5"/>
  <c r="H24" i="5"/>
  <c r="R26" i="5"/>
  <c r="F27" i="5"/>
  <c r="I29" i="5"/>
  <c r="X30" i="5"/>
  <c r="R31" i="5"/>
  <c r="H32" i="5"/>
  <c r="X36" i="5"/>
  <c r="X40" i="5"/>
  <c r="X52" i="5"/>
  <c r="X56" i="5"/>
  <c r="X60" i="5"/>
  <c r="X64" i="5"/>
  <c r="X68" i="5"/>
  <c r="X72" i="5"/>
  <c r="X80" i="5"/>
  <c r="X84" i="5"/>
  <c r="X88" i="5"/>
  <c r="X101" i="5"/>
  <c r="R102" i="5"/>
  <c r="J102" i="5"/>
  <c r="AB103" i="5"/>
  <c r="J105" i="5"/>
  <c r="I105" i="5"/>
  <c r="H105" i="5"/>
  <c r="AB112" i="5"/>
  <c r="I118" i="5"/>
  <c r="F121" i="5"/>
  <c r="AB125" i="5"/>
  <c r="R129" i="5"/>
  <c r="H130" i="5"/>
  <c r="X133"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X197"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X332" i="5"/>
  <c r="J332" i="5"/>
  <c r="AB336" i="5"/>
  <c r="X343" i="5"/>
  <c r="R343" i="5"/>
  <c r="J343" i="5"/>
  <c r="H343" i="5"/>
  <c r="X344" i="5"/>
  <c r="J344" i="5"/>
  <c r="AB350" i="5"/>
  <c r="I368" i="5"/>
  <c r="AB373" i="5"/>
  <c r="J376" i="5"/>
  <c r="H380" i="5"/>
  <c r="AB382" i="5"/>
  <c r="AB385" i="5"/>
  <c r="R471" i="5"/>
  <c r="J471" i="5"/>
  <c r="I471" i="5"/>
  <c r="H471" i="5"/>
  <c r="F471" i="5"/>
  <c r="X471" i="5"/>
  <c r="R499" i="5"/>
  <c r="J499" i="5"/>
  <c r="I499" i="5"/>
  <c r="H499" i="5"/>
  <c r="F499" i="5"/>
  <c r="X499" i="5"/>
  <c r="R531" i="5"/>
  <c r="J531" i="5"/>
  <c r="I531" i="5"/>
  <c r="H531" i="5"/>
  <c r="F531" i="5"/>
  <c r="X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X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X368" i="5"/>
  <c r="J368" i="5"/>
  <c r="AB374" i="5"/>
  <c r="AB386" i="5"/>
  <c r="F387" i="5"/>
  <c r="AB393" i="5"/>
  <c r="X399" i="5"/>
  <c r="R399" i="5"/>
  <c r="J399" i="5"/>
  <c r="H399" i="5"/>
  <c r="X464" i="5"/>
  <c r="I464" i="5"/>
  <c r="H464" i="5"/>
  <c r="F464" i="5"/>
  <c r="R464" i="5"/>
  <c r="J464" i="5"/>
  <c r="I478" i="5"/>
  <c r="H478" i="5"/>
  <c r="X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X348" i="5"/>
  <c r="J348" i="5"/>
  <c r="AB354" i="5"/>
  <c r="F364" i="5"/>
  <c r="AB367" i="5"/>
  <c r="AB377" i="5"/>
  <c r="X379" i="5"/>
  <c r="X380" i="5"/>
  <c r="J380" i="5"/>
  <c r="AB390" i="5"/>
  <c r="AB397" i="5"/>
  <c r="R483" i="5"/>
  <c r="J483" i="5"/>
  <c r="I483" i="5"/>
  <c r="H483" i="5"/>
  <c r="F483" i="5"/>
  <c r="I510" i="5"/>
  <c r="H510" i="5"/>
  <c r="X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X515" i="5"/>
  <c r="F304" i="5"/>
  <c r="R310" i="5"/>
  <c r="I313" i="5"/>
  <c r="R318" i="5"/>
  <c r="I321" i="5"/>
  <c r="R326" i="5"/>
  <c r="I329" i="5"/>
  <c r="I332" i="5"/>
  <c r="F333" i="5"/>
  <c r="AB334" i="5"/>
  <c r="AB339" i="5"/>
  <c r="I343" i="5"/>
  <c r="H344" i="5"/>
  <c r="AB346" i="5"/>
  <c r="F356" i="5"/>
  <c r="AB359" i="5"/>
  <c r="AB369" i="5"/>
  <c r="X372" i="5"/>
  <c r="J372" i="5"/>
  <c r="H376" i="5"/>
  <c r="AB378" i="5"/>
  <c r="AB398" i="5"/>
  <c r="F399" i="5"/>
  <c r="AB405" i="5"/>
  <c r="AB409" i="5"/>
  <c r="J336" i="5"/>
  <c r="R344" i="5"/>
  <c r="AB351" i="5"/>
  <c r="AB352" i="5"/>
  <c r="R363" i="5"/>
  <c r="J363" i="5"/>
  <c r="H363" i="5"/>
  <c r="X364" i="5"/>
  <c r="J364" i="5"/>
  <c r="AB370" i="5"/>
  <c r="R387" i="5"/>
  <c r="J387" i="5"/>
  <c r="H387" i="5"/>
  <c r="AB406" i="5"/>
  <c r="I526" i="5"/>
  <c r="H526" i="5"/>
  <c r="X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X487" i="5"/>
  <c r="F492" i="5"/>
  <c r="F508" i="5"/>
  <c r="X519" i="5"/>
  <c r="F540" i="5"/>
  <c r="R547" i="5"/>
  <c r="J547" i="5"/>
  <c r="AB553" i="5"/>
  <c r="AB572" i="5"/>
  <c r="AB582" i="5"/>
  <c r="AB585" i="5"/>
  <c r="AB596" i="5"/>
  <c r="AB597" i="5"/>
  <c r="H706" i="5"/>
  <c r="R706" i="5"/>
  <c r="J706" i="5"/>
  <c r="I706" i="5"/>
  <c r="F706" i="5"/>
  <c r="X706" i="5"/>
  <c r="AB478" i="5"/>
  <c r="AB483" i="5"/>
  <c r="X484" i="5"/>
  <c r="I484" i="5"/>
  <c r="AB494" i="5"/>
  <c r="AB499" i="5"/>
  <c r="X500" i="5"/>
  <c r="I500" i="5"/>
  <c r="AB510" i="5"/>
  <c r="F514" i="5"/>
  <c r="AB515" i="5"/>
  <c r="X516" i="5"/>
  <c r="I516" i="5"/>
  <c r="F519" i="5"/>
  <c r="AB526" i="5"/>
  <c r="F530" i="5"/>
  <c r="AB531" i="5"/>
  <c r="X532" i="5"/>
  <c r="I532" i="5"/>
  <c r="F535" i="5"/>
  <c r="AB542" i="5"/>
  <c r="F546" i="5"/>
  <c r="J550" i="5"/>
  <c r="I550" i="5"/>
  <c r="H550" i="5"/>
  <c r="F555" i="5"/>
  <c r="AB558" i="5"/>
  <c r="R559" i="5"/>
  <c r="J559" i="5"/>
  <c r="J566" i="5"/>
  <c r="I566" i="5"/>
  <c r="H566" i="5"/>
  <c r="X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X480" i="5"/>
  <c r="I480" i="5"/>
  <c r="J482" i="5"/>
  <c r="AB484" i="5"/>
  <c r="AB490" i="5"/>
  <c r="AB495" i="5"/>
  <c r="J498" i="5"/>
  <c r="AB500" i="5"/>
  <c r="AB506" i="5"/>
  <c r="AB511" i="5"/>
  <c r="X512" i="5"/>
  <c r="I512" i="5"/>
  <c r="J514" i="5"/>
  <c r="AB516" i="5"/>
  <c r="AB522" i="5"/>
  <c r="AB527" i="5"/>
  <c r="X528" i="5"/>
  <c r="I528" i="5"/>
  <c r="J530" i="5"/>
  <c r="AB532" i="5"/>
  <c r="AB538" i="5"/>
  <c r="AB543" i="5"/>
  <c r="X544" i="5"/>
  <c r="I544" i="5"/>
  <c r="J546" i="5"/>
  <c r="F547" i="5"/>
  <c r="AB548" i="5"/>
  <c r="AB550" i="5"/>
  <c r="R551" i="5"/>
  <c r="J551" i="5"/>
  <c r="AB557" i="5"/>
  <c r="F558" i="5"/>
  <c r="AB568" i="5"/>
  <c r="F570" i="5"/>
  <c r="AB578" i="5"/>
  <c r="AB581" i="5"/>
  <c r="H682" i="5"/>
  <c r="R682" i="5"/>
  <c r="J682" i="5"/>
  <c r="I682" i="5"/>
  <c r="F682" i="5"/>
  <c r="X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X686" i="5"/>
  <c r="AB464" i="5"/>
  <c r="J468" i="5"/>
  <c r="AB475" i="5"/>
  <c r="X476" i="5"/>
  <c r="I476" i="5"/>
  <c r="F479" i="5"/>
  <c r="AB480" i="5"/>
  <c r="AB486" i="5"/>
  <c r="AB491" i="5"/>
  <c r="X492" i="5"/>
  <c r="I492" i="5"/>
  <c r="F495" i="5"/>
  <c r="AB496" i="5"/>
  <c r="AB502" i="5"/>
  <c r="AB507" i="5"/>
  <c r="X508" i="5"/>
  <c r="I508" i="5"/>
  <c r="F511" i="5"/>
  <c r="AB512" i="5"/>
  <c r="AB518" i="5"/>
  <c r="AB523" i="5"/>
  <c r="F527" i="5"/>
  <c r="AB528" i="5"/>
  <c r="AB534" i="5"/>
  <c r="AB539" i="5"/>
  <c r="X540" i="5"/>
  <c r="I540" i="5"/>
  <c r="F543" i="5"/>
  <c r="AB544" i="5"/>
  <c r="AB549" i="5"/>
  <c r="F550" i="5"/>
  <c r="H559" i="5"/>
  <c r="AB576" i="5"/>
  <c r="J582" i="5"/>
  <c r="I582" i="5"/>
  <c r="H582" i="5"/>
  <c r="X582"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X570" i="5"/>
  <c r="AB574" i="5"/>
  <c r="AB577" i="5"/>
  <c r="R590" i="5"/>
  <c r="J590" i="5"/>
  <c r="I590" i="5"/>
  <c r="H590" i="5"/>
  <c r="X590" i="5"/>
  <c r="H698" i="5"/>
  <c r="R698" i="5"/>
  <c r="J698" i="5"/>
  <c r="I698" i="5"/>
  <c r="F698" i="5"/>
  <c r="X698" i="5"/>
  <c r="AB465" i="5"/>
  <c r="AB476" i="5"/>
  <c r="AB482" i="5"/>
  <c r="J484" i="5"/>
  <c r="AB487" i="5"/>
  <c r="I488" i="5"/>
  <c r="AB492" i="5"/>
  <c r="AB498" i="5"/>
  <c r="J500" i="5"/>
  <c r="AB503" i="5"/>
  <c r="I504" i="5"/>
  <c r="AB508" i="5"/>
  <c r="AB514" i="5"/>
  <c r="J516" i="5"/>
  <c r="AB519" i="5"/>
  <c r="I520" i="5"/>
  <c r="AB524" i="5"/>
  <c r="AB530" i="5"/>
  <c r="J532" i="5"/>
  <c r="AB535" i="5"/>
  <c r="X536" i="5"/>
  <c r="I536" i="5"/>
  <c r="AB540" i="5"/>
  <c r="AB546" i="5"/>
  <c r="J558" i="5"/>
  <c r="I558" i="5"/>
  <c r="H558" i="5"/>
  <c r="AB565" i="5"/>
  <c r="AB584" i="5"/>
  <c r="AB592" i="5"/>
  <c r="AB593" i="5"/>
  <c r="R594" i="5"/>
  <c r="J594" i="5"/>
  <c r="I594" i="5"/>
  <c r="H594" i="5"/>
  <c r="X594" i="5"/>
  <c r="H702" i="5"/>
  <c r="R702" i="5"/>
  <c r="J702" i="5"/>
  <c r="I702" i="5"/>
  <c r="F702" i="5"/>
  <c r="X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X685" i="5"/>
  <c r="I685" i="5"/>
  <c r="I688" i="5"/>
  <c r="H689" i="5"/>
  <c r="AB691" i="5"/>
  <c r="F701" i="5"/>
  <c r="X701" i="5"/>
  <c r="I701" i="5"/>
  <c r="I704" i="5"/>
  <c r="H705" i="5"/>
  <c r="J707" i="5"/>
  <c r="I707" i="5"/>
  <c r="F707" i="5"/>
  <c r="X707" i="5"/>
  <c r="AB711" i="5"/>
  <c r="S715" i="5"/>
  <c r="H719" i="5"/>
  <c r="X722" i="5"/>
  <c r="J723" i="5"/>
  <c r="I723" i="5"/>
  <c r="F723" i="5"/>
  <c r="X723" i="5"/>
  <c r="H726" i="5"/>
  <c r="R726" i="5"/>
  <c r="AB727" i="5"/>
  <c r="R728" i="5"/>
  <c r="H728" i="5"/>
  <c r="S731" i="5"/>
  <c r="H735" i="5"/>
  <c r="J739" i="5"/>
  <c r="I739" i="5"/>
  <c r="F739" i="5"/>
  <c r="X739" i="5"/>
  <c r="H742" i="5"/>
  <c r="R742" i="5"/>
  <c r="AB743" i="5"/>
  <c r="R744" i="5"/>
  <c r="H744" i="5"/>
  <c r="S747" i="5"/>
  <c r="S757" i="5"/>
  <c r="AB759" i="5"/>
  <c r="H765" i="5"/>
  <c r="F765" i="5"/>
  <c r="X765" i="5"/>
  <c r="J765" i="5"/>
  <c r="I765" i="5"/>
  <c r="J771" i="5"/>
  <c r="I771" i="5"/>
  <c r="H771" i="5"/>
  <c r="F771" i="5"/>
  <c r="X771" i="5"/>
  <c r="H781" i="5"/>
  <c r="F781" i="5"/>
  <c r="X781" i="5"/>
  <c r="J781" i="5"/>
  <c r="I781" i="5"/>
  <c r="J787" i="5"/>
  <c r="I787" i="5"/>
  <c r="H787" i="5"/>
  <c r="F787" i="5"/>
  <c r="X787" i="5"/>
  <c r="J815" i="5"/>
  <c r="X815" i="5"/>
  <c r="F815" i="5"/>
  <c r="R815" i="5"/>
  <c r="I815" i="5"/>
  <c r="H815" i="5"/>
  <c r="I850" i="5"/>
  <c r="H850" i="5"/>
  <c r="X850" i="5"/>
  <c r="R850" i="5"/>
  <c r="J850" i="5"/>
  <c r="F850" i="5"/>
  <c r="I548" i="5"/>
  <c r="I552" i="5"/>
  <c r="I560" i="5"/>
  <c r="I564" i="5"/>
  <c r="I568" i="5"/>
  <c r="I572" i="5"/>
  <c r="I584" i="5"/>
  <c r="X598" i="5"/>
  <c r="I600" i="5"/>
  <c r="I604" i="5"/>
  <c r="X606" i="5"/>
  <c r="X610" i="5"/>
  <c r="I612" i="5"/>
  <c r="X614" i="5"/>
  <c r="I616" i="5"/>
  <c r="X618" i="5"/>
  <c r="I620" i="5"/>
  <c r="X622" i="5"/>
  <c r="I624" i="5"/>
  <c r="X626" i="5"/>
  <c r="I628" i="5"/>
  <c r="X630" i="5"/>
  <c r="I636" i="5"/>
  <c r="X638" i="5"/>
  <c r="X642" i="5"/>
  <c r="X646" i="5"/>
  <c r="I652" i="5"/>
  <c r="I656" i="5"/>
  <c r="I660" i="5"/>
  <c r="AB681" i="5"/>
  <c r="S683" i="5"/>
  <c r="AB686" i="5"/>
  <c r="J688" i="5"/>
  <c r="J689" i="5"/>
  <c r="F691" i="5"/>
  <c r="S693" i="5"/>
  <c r="AB697" i="5"/>
  <c r="S699" i="5"/>
  <c r="AB702" i="5"/>
  <c r="J704" i="5"/>
  <c r="J705" i="5"/>
  <c r="X708" i="5"/>
  <c r="F709" i="5"/>
  <c r="X709" i="5"/>
  <c r="J709" i="5"/>
  <c r="I709" i="5"/>
  <c r="AB713" i="5"/>
  <c r="H721" i="5"/>
  <c r="F722" i="5"/>
  <c r="X724" i="5"/>
  <c r="F725" i="5"/>
  <c r="X725" i="5"/>
  <c r="J725" i="5"/>
  <c r="I725" i="5"/>
  <c r="AB729" i="5"/>
  <c r="H737" i="5"/>
  <c r="X740" i="5"/>
  <c r="F741" i="5"/>
  <c r="X741" i="5"/>
  <c r="J741" i="5"/>
  <c r="I741" i="5"/>
  <c r="AB745" i="5"/>
  <c r="S749" i="5"/>
  <c r="J759" i="5"/>
  <c r="I759" i="5"/>
  <c r="H759" i="5"/>
  <c r="F759" i="5"/>
  <c r="X759" i="5"/>
  <c r="AB769" i="5"/>
  <c r="S769" i="5"/>
  <c r="S775" i="5"/>
  <c r="AB775" i="5"/>
  <c r="AB785" i="5"/>
  <c r="S785" i="5"/>
  <c r="S791" i="5"/>
  <c r="AB791" i="5"/>
  <c r="R803" i="5"/>
  <c r="J803" i="5"/>
  <c r="I803" i="5"/>
  <c r="H803" i="5"/>
  <c r="F803" i="5"/>
  <c r="X803" i="5"/>
  <c r="J827" i="5"/>
  <c r="I827" i="5"/>
  <c r="X827" i="5"/>
  <c r="R827" i="5"/>
  <c r="H827" i="5"/>
  <c r="F827" i="5"/>
  <c r="J656" i="5"/>
  <c r="J660" i="5"/>
  <c r="S661" i="5"/>
  <c r="J664" i="5"/>
  <c r="S665" i="5"/>
  <c r="J668" i="5"/>
  <c r="S669" i="5"/>
  <c r="S673" i="5"/>
  <c r="J676" i="5"/>
  <c r="S677" i="5"/>
  <c r="F681" i="5"/>
  <c r="X681" i="5"/>
  <c r="I681" i="5"/>
  <c r="J683" i="5"/>
  <c r="I683" i="5"/>
  <c r="X683" i="5"/>
  <c r="AB687" i="5"/>
  <c r="F697" i="5"/>
  <c r="X697" i="5"/>
  <c r="I697" i="5"/>
  <c r="J699" i="5"/>
  <c r="I699" i="5"/>
  <c r="X699" i="5"/>
  <c r="AB703" i="5"/>
  <c r="F708" i="5"/>
  <c r="J711" i="5"/>
  <c r="I711" i="5"/>
  <c r="F711" i="5"/>
  <c r="X711" i="5"/>
  <c r="H714" i="5"/>
  <c r="R714" i="5"/>
  <c r="AB715" i="5"/>
  <c r="R716" i="5"/>
  <c r="H716" i="5"/>
  <c r="F724" i="5"/>
  <c r="J727" i="5"/>
  <c r="I727" i="5"/>
  <c r="F727" i="5"/>
  <c r="X727" i="5"/>
  <c r="AB731" i="5"/>
  <c r="R732" i="5"/>
  <c r="H732" i="5"/>
  <c r="F740" i="5"/>
  <c r="J743" i="5"/>
  <c r="I743" i="5"/>
  <c r="F743" i="5"/>
  <c r="X743" i="5"/>
  <c r="X744" i="5"/>
  <c r="AB747" i="5"/>
  <c r="R748" i="5"/>
  <c r="H748" i="5"/>
  <c r="H769" i="5"/>
  <c r="F769" i="5"/>
  <c r="X769" i="5"/>
  <c r="J769" i="5"/>
  <c r="I769" i="5"/>
  <c r="H785" i="5"/>
  <c r="F785" i="5"/>
  <c r="X785" i="5"/>
  <c r="J785" i="5"/>
  <c r="I785" i="5"/>
  <c r="J791" i="5"/>
  <c r="I791" i="5"/>
  <c r="H791" i="5"/>
  <c r="F791" i="5"/>
  <c r="X791" i="5"/>
  <c r="J799" i="5"/>
  <c r="AB682" i="5"/>
  <c r="AB693" i="5"/>
  <c r="AB698" i="5"/>
  <c r="F713" i="5"/>
  <c r="X713" i="5"/>
  <c r="J713" i="5"/>
  <c r="I713" i="5"/>
  <c r="F729" i="5"/>
  <c r="X729" i="5"/>
  <c r="J729" i="5"/>
  <c r="I729" i="5"/>
  <c r="F745" i="5"/>
  <c r="X745" i="5"/>
  <c r="J745" i="5"/>
  <c r="I745" i="5"/>
  <c r="S753" i="5"/>
  <c r="AB755" i="5"/>
  <c r="S763" i="5"/>
  <c r="AB763" i="5"/>
  <c r="AB773" i="5"/>
  <c r="S773" i="5"/>
  <c r="S779" i="5"/>
  <c r="AB779" i="5"/>
  <c r="AB789" i="5"/>
  <c r="S789" i="5"/>
  <c r="R795" i="5"/>
  <c r="J795" i="5"/>
  <c r="I795" i="5"/>
  <c r="H795" i="5"/>
  <c r="F795" i="5"/>
  <c r="X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X693" i="5"/>
  <c r="I693" i="5"/>
  <c r="H694" i="5"/>
  <c r="R694" i="5"/>
  <c r="H697" i="5"/>
  <c r="AB699" i="5"/>
  <c r="S707" i="5"/>
  <c r="R709" i="5"/>
  <c r="H711" i="5"/>
  <c r="X714" i="5"/>
  <c r="J715" i="5"/>
  <c r="I715" i="5"/>
  <c r="F715" i="5"/>
  <c r="X715" i="5"/>
  <c r="AB719" i="5"/>
  <c r="S723" i="5"/>
  <c r="R725" i="5"/>
  <c r="H727" i="5"/>
  <c r="J731" i="5"/>
  <c r="I731" i="5"/>
  <c r="F731" i="5"/>
  <c r="X731" i="5"/>
  <c r="H734" i="5"/>
  <c r="R734" i="5"/>
  <c r="AB735" i="5"/>
  <c r="R736" i="5"/>
  <c r="H736" i="5"/>
  <c r="S739" i="5"/>
  <c r="H743" i="5"/>
  <c r="X746" i="5"/>
  <c r="J747" i="5"/>
  <c r="I747" i="5"/>
  <c r="F747" i="5"/>
  <c r="X747" i="5"/>
  <c r="F753" i="5"/>
  <c r="X753" i="5"/>
  <c r="J753" i="5"/>
  <c r="I753" i="5"/>
  <c r="J755" i="5"/>
  <c r="I755" i="5"/>
  <c r="H755" i="5"/>
  <c r="F755" i="5"/>
  <c r="X755" i="5"/>
  <c r="F756" i="5"/>
  <c r="J763" i="5"/>
  <c r="I763" i="5"/>
  <c r="H763" i="5"/>
  <c r="F763" i="5"/>
  <c r="X763" i="5"/>
  <c r="R769" i="5"/>
  <c r="H773" i="5"/>
  <c r="F773" i="5"/>
  <c r="X773" i="5"/>
  <c r="J773" i="5"/>
  <c r="I773" i="5"/>
  <c r="J779" i="5"/>
  <c r="I779" i="5"/>
  <c r="H779" i="5"/>
  <c r="F779" i="5"/>
  <c r="X779" i="5"/>
  <c r="R785" i="5"/>
  <c r="H789" i="5"/>
  <c r="F789" i="5"/>
  <c r="X789" i="5"/>
  <c r="J789" i="5"/>
  <c r="I789" i="5"/>
  <c r="R791" i="5"/>
  <c r="AB801" i="5"/>
  <c r="S801" i="5"/>
  <c r="H805" i="5"/>
  <c r="F805" i="5"/>
  <c r="X805" i="5"/>
  <c r="R805" i="5"/>
  <c r="J805" i="5"/>
  <c r="I805" i="5"/>
  <c r="I834" i="5"/>
  <c r="H834" i="5"/>
  <c r="X834" i="5"/>
  <c r="R834" i="5"/>
  <c r="J834" i="5"/>
  <c r="F834" i="5"/>
  <c r="I598" i="5"/>
  <c r="I606" i="5"/>
  <c r="I610" i="5"/>
  <c r="I614" i="5"/>
  <c r="I618" i="5"/>
  <c r="I622" i="5"/>
  <c r="I626" i="5"/>
  <c r="I630" i="5"/>
  <c r="I638" i="5"/>
  <c r="I642" i="5"/>
  <c r="I646" i="5"/>
  <c r="J681" i="5"/>
  <c r="F683" i="5"/>
  <c r="S685" i="5"/>
  <c r="X688" i="5"/>
  <c r="AB689" i="5"/>
  <c r="S691" i="5"/>
  <c r="H692" i="5"/>
  <c r="AB694" i="5"/>
  <c r="J697" i="5"/>
  <c r="F699" i="5"/>
  <c r="S701" i="5"/>
  <c r="X704" i="5"/>
  <c r="AB705" i="5"/>
  <c r="S709" i="5"/>
  <c r="R711" i="5"/>
  <c r="H713" i="5"/>
  <c r="F714" i="5"/>
  <c r="X716" i="5"/>
  <c r="AB721" i="5"/>
  <c r="S725" i="5"/>
  <c r="J726" i="5"/>
  <c r="R727" i="5"/>
  <c r="I728" i="5"/>
  <c r="H729" i="5"/>
  <c r="F730" i="5"/>
  <c r="X732" i="5"/>
  <c r="F733" i="5"/>
  <c r="X733" i="5"/>
  <c r="J733" i="5"/>
  <c r="I733" i="5"/>
  <c r="AB737" i="5"/>
  <c r="S741" i="5"/>
  <c r="J742" i="5"/>
  <c r="R743" i="5"/>
  <c r="I744" i="5"/>
  <c r="H745" i="5"/>
  <c r="X748" i="5"/>
  <c r="AB751" i="5"/>
  <c r="AB761" i="5"/>
  <c r="S761" i="5"/>
  <c r="S767" i="5"/>
  <c r="AB767" i="5"/>
  <c r="AB777" i="5"/>
  <c r="S777" i="5"/>
  <c r="S783" i="5"/>
  <c r="AB783" i="5"/>
  <c r="AB793" i="5"/>
  <c r="S793" i="5"/>
  <c r="AB797" i="5"/>
  <c r="S797" i="5"/>
  <c r="H801" i="5"/>
  <c r="F801" i="5"/>
  <c r="X801" i="5"/>
  <c r="J801" i="5"/>
  <c r="I801" i="5"/>
  <c r="J598" i="5"/>
  <c r="J606" i="5"/>
  <c r="J610" i="5"/>
  <c r="J614" i="5"/>
  <c r="J618" i="5"/>
  <c r="J622" i="5"/>
  <c r="J626" i="5"/>
  <c r="J630" i="5"/>
  <c r="R681" i="5"/>
  <c r="F688" i="5"/>
  <c r="F689" i="5"/>
  <c r="X689" i="5"/>
  <c r="I689" i="5"/>
  <c r="J691" i="5"/>
  <c r="I691" i="5"/>
  <c r="X691" i="5"/>
  <c r="F704" i="5"/>
  <c r="F705" i="5"/>
  <c r="X705" i="5"/>
  <c r="I705" i="5"/>
  <c r="AB707" i="5"/>
  <c r="R708" i="5"/>
  <c r="H708" i="5"/>
  <c r="R713" i="5"/>
  <c r="J719" i="5"/>
  <c r="I719" i="5"/>
  <c r="F719" i="5"/>
  <c r="X719" i="5"/>
  <c r="H722" i="5"/>
  <c r="R722" i="5"/>
  <c r="AB723" i="5"/>
  <c r="R724" i="5"/>
  <c r="H724" i="5"/>
  <c r="R729" i="5"/>
  <c r="J735" i="5"/>
  <c r="I735" i="5"/>
  <c r="F735" i="5"/>
  <c r="X735" i="5"/>
  <c r="AB739" i="5"/>
  <c r="R740" i="5"/>
  <c r="H740" i="5"/>
  <c r="R745" i="5"/>
  <c r="J751" i="5"/>
  <c r="I751" i="5"/>
  <c r="H751" i="5"/>
  <c r="F751" i="5"/>
  <c r="X751" i="5"/>
  <c r="H761" i="5"/>
  <c r="F761" i="5"/>
  <c r="X761" i="5"/>
  <c r="J761" i="5"/>
  <c r="I761" i="5"/>
  <c r="H777" i="5"/>
  <c r="F777" i="5"/>
  <c r="X777" i="5"/>
  <c r="J777" i="5"/>
  <c r="I777" i="5"/>
  <c r="H793" i="5"/>
  <c r="F793" i="5"/>
  <c r="X793" i="5"/>
  <c r="J793" i="5"/>
  <c r="I793" i="5"/>
  <c r="H797" i="5"/>
  <c r="F797" i="5"/>
  <c r="X797" i="5"/>
  <c r="J797" i="5"/>
  <c r="I797" i="5"/>
  <c r="X806" i="5"/>
  <c r="R806" i="5"/>
  <c r="J806" i="5"/>
  <c r="I806" i="5"/>
  <c r="H806" i="5"/>
  <c r="F806" i="5"/>
  <c r="I842" i="5"/>
  <c r="H842" i="5"/>
  <c r="X842" i="5"/>
  <c r="R842" i="5"/>
  <c r="J842" i="5"/>
  <c r="F842" i="5"/>
  <c r="AB685" i="5"/>
  <c r="AB690" i="5"/>
  <c r="AB701" i="5"/>
  <c r="AB706" i="5"/>
  <c r="F721" i="5"/>
  <c r="X721" i="5"/>
  <c r="J721" i="5"/>
  <c r="I721" i="5"/>
  <c r="F737" i="5"/>
  <c r="X737" i="5"/>
  <c r="J737" i="5"/>
  <c r="I737" i="5"/>
  <c r="S755" i="5"/>
  <c r="R756" i="5"/>
  <c r="J756" i="5"/>
  <c r="H756" i="5"/>
  <c r="AB765" i="5"/>
  <c r="S765" i="5"/>
  <c r="S771" i="5"/>
  <c r="AB771" i="5"/>
  <c r="AB781" i="5"/>
  <c r="S781" i="5"/>
  <c r="S787" i="5"/>
  <c r="AB787" i="5"/>
  <c r="H822" i="5"/>
  <c r="X822" i="5"/>
  <c r="R822" i="5"/>
  <c r="J822" i="5"/>
  <c r="I822" i="5"/>
  <c r="F822" i="5"/>
  <c r="X919" i="5"/>
  <c r="R919" i="5"/>
  <c r="I919" i="5"/>
  <c r="J919" i="5"/>
  <c r="H919" i="5"/>
  <c r="F919" i="5"/>
  <c r="R758" i="5"/>
  <c r="R770" i="5"/>
  <c r="R778" i="5"/>
  <c r="R782" i="5"/>
  <c r="R786" i="5"/>
  <c r="R790" i="5"/>
  <c r="R798" i="5"/>
  <c r="R802" i="5"/>
  <c r="S806" i="5"/>
  <c r="H807" i="5"/>
  <c r="H809" i="5"/>
  <c r="S811" i="5"/>
  <c r="X816" i="5"/>
  <c r="H820" i="5"/>
  <c r="H821" i="5"/>
  <c r="F824" i="5"/>
  <c r="AB830" i="5"/>
  <c r="H856" i="5"/>
  <c r="AB860" i="5"/>
  <c r="AB861" i="5"/>
  <c r="AB864" i="5"/>
  <c r="F873" i="5"/>
  <c r="S877" i="5"/>
  <c r="I889" i="5"/>
  <c r="X889" i="5"/>
  <c r="R889" i="5"/>
  <c r="H889" i="5"/>
  <c r="J981" i="5"/>
  <c r="I981" i="5"/>
  <c r="H981" i="5"/>
  <c r="X981" i="5"/>
  <c r="F981" i="5"/>
  <c r="R981" i="5"/>
  <c r="J1053" i="5"/>
  <c r="I1053" i="5"/>
  <c r="H1053" i="5"/>
  <c r="X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X835" i="5"/>
  <c r="R843" i="5"/>
  <c r="J843" i="5"/>
  <c r="I843" i="5"/>
  <c r="X843" i="5"/>
  <c r="X844" i="5"/>
  <c r="R844" i="5"/>
  <c r="I844" i="5"/>
  <c r="J851" i="5"/>
  <c r="X851" i="5"/>
  <c r="S865" i="5"/>
  <c r="AB868" i="5"/>
  <c r="AB876" i="5"/>
  <c r="AB877" i="5"/>
  <c r="AB880" i="5"/>
  <c r="S893" i="5"/>
  <c r="X899" i="5"/>
  <c r="R899" i="5"/>
  <c r="I899" i="5"/>
  <c r="F899" i="5"/>
  <c r="H899" i="5"/>
  <c r="I909" i="5"/>
  <c r="X909" i="5"/>
  <c r="J909" i="5"/>
  <c r="H909" i="5"/>
  <c r="F909" i="5"/>
  <c r="R909" i="5"/>
  <c r="AB924" i="5"/>
  <c r="S929" i="5"/>
  <c r="AB953" i="5"/>
  <c r="S953" i="5"/>
  <c r="R994" i="5"/>
  <c r="J994" i="5"/>
  <c r="I994" i="5"/>
  <c r="X994" i="5"/>
  <c r="H994" i="5"/>
  <c r="F994" i="5"/>
  <c r="AB1045" i="5"/>
  <c r="S1045" i="5"/>
  <c r="J819" i="5"/>
  <c r="X819" i="5"/>
  <c r="AB884" i="5"/>
  <c r="AB892" i="5"/>
  <c r="R906" i="5"/>
  <c r="I906" i="5"/>
  <c r="H906" i="5"/>
  <c r="X906" i="5"/>
  <c r="I921" i="5"/>
  <c r="X921" i="5"/>
  <c r="F921" i="5"/>
  <c r="R921" i="5"/>
  <c r="H921" i="5"/>
  <c r="I929" i="5"/>
  <c r="X929" i="5"/>
  <c r="R929" i="5"/>
  <c r="J929" i="5"/>
  <c r="H929" i="5"/>
  <c r="AB989" i="5"/>
  <c r="S989" i="5"/>
  <c r="J1085" i="5"/>
  <c r="I1085" i="5"/>
  <c r="H1085" i="5"/>
  <c r="X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X856" i="5"/>
  <c r="R856" i="5"/>
  <c r="F856" i="5"/>
  <c r="I856" i="5"/>
  <c r="X860" i="5"/>
  <c r="R860" i="5"/>
  <c r="I860" i="5"/>
  <c r="H860" i="5"/>
  <c r="F860" i="5"/>
  <c r="X864" i="5"/>
  <c r="R864" i="5"/>
  <c r="J864" i="5"/>
  <c r="I864" i="5"/>
  <c r="F864" i="5"/>
  <c r="AB896" i="5"/>
  <c r="S897" i="5"/>
  <c r="X904" i="5"/>
  <c r="R904" i="5"/>
  <c r="H904" i="5"/>
  <c r="F904" i="5"/>
  <c r="I904" i="5"/>
  <c r="F906" i="5"/>
  <c r="AB912" i="5"/>
  <c r="J921" i="5"/>
  <c r="X924" i="5"/>
  <c r="R924" i="5"/>
  <c r="J924" i="5"/>
  <c r="I924" i="5"/>
  <c r="H924" i="5"/>
  <c r="F924" i="5"/>
  <c r="F929" i="5"/>
  <c r="I937" i="5"/>
  <c r="X937" i="5"/>
  <c r="F937" i="5"/>
  <c r="R937" i="5"/>
  <c r="J937" i="5"/>
  <c r="H937" i="5"/>
  <c r="I945" i="5"/>
  <c r="X945" i="5"/>
  <c r="R945" i="5"/>
  <c r="J945" i="5"/>
  <c r="F945" i="5"/>
  <c r="R962" i="5"/>
  <c r="J962" i="5"/>
  <c r="I962" i="5"/>
  <c r="H962" i="5"/>
  <c r="F962" i="5"/>
  <c r="X962" i="5"/>
  <c r="AB970" i="5"/>
  <c r="J993" i="5"/>
  <c r="I993" i="5"/>
  <c r="H993" i="5"/>
  <c r="X993" i="5"/>
  <c r="F993" i="5"/>
  <c r="R993" i="5"/>
  <c r="J1037" i="5"/>
  <c r="I1037" i="5"/>
  <c r="H1037" i="5"/>
  <c r="X1037" i="5"/>
  <c r="F1037" i="5"/>
  <c r="R1037" i="5"/>
  <c r="AB1077" i="5"/>
  <c r="S1077" i="5"/>
  <c r="S807" i="5"/>
  <c r="J810" i="5"/>
  <c r="R824" i="5"/>
  <c r="I824" i="5"/>
  <c r="S831" i="5"/>
  <c r="F838" i="5"/>
  <c r="F846" i="5"/>
  <c r="X855" i="5"/>
  <c r="R855" i="5"/>
  <c r="I855" i="5"/>
  <c r="H855" i="5"/>
  <c r="F855" i="5"/>
  <c r="X876" i="5"/>
  <c r="R876" i="5"/>
  <c r="I876" i="5"/>
  <c r="H876" i="5"/>
  <c r="F876" i="5"/>
  <c r="X880" i="5"/>
  <c r="R880" i="5"/>
  <c r="J880" i="5"/>
  <c r="I880" i="5"/>
  <c r="F880" i="5"/>
  <c r="J906" i="5"/>
  <c r="H945" i="5"/>
  <c r="AB980" i="5"/>
  <c r="R1030" i="5"/>
  <c r="J1030" i="5"/>
  <c r="I1030" i="5"/>
  <c r="H1030" i="5"/>
  <c r="F1030" i="5"/>
  <c r="X1030" i="5"/>
  <c r="J1117" i="5"/>
  <c r="I1117" i="5"/>
  <c r="H1117" i="5"/>
  <c r="X1117" i="5"/>
  <c r="F1117" i="5"/>
  <c r="R1117" i="5"/>
  <c r="R1177" i="5"/>
  <c r="J1177" i="5"/>
  <c r="I1177" i="5"/>
  <c r="H1177" i="5"/>
  <c r="F1177" i="5"/>
  <c r="X1177" i="5"/>
  <c r="F809" i="5"/>
  <c r="R809" i="5"/>
  <c r="I813" i="5"/>
  <c r="AB815" i="5"/>
  <c r="F819" i="5"/>
  <c r="AB821" i="5"/>
  <c r="H826" i="5"/>
  <c r="X826" i="5"/>
  <c r="R826" i="5"/>
  <c r="AB827" i="5"/>
  <c r="R828" i="5"/>
  <c r="I828" i="5"/>
  <c r="J831" i="5"/>
  <c r="I831" i="5"/>
  <c r="X831" i="5"/>
  <c r="X832" i="5"/>
  <c r="R832" i="5"/>
  <c r="I832" i="5"/>
  <c r="X840" i="5"/>
  <c r="R840" i="5"/>
  <c r="I840" i="5"/>
  <c r="F844" i="5"/>
  <c r="X848" i="5"/>
  <c r="R848" i="5"/>
  <c r="I848" i="5"/>
  <c r="AB855" i="5"/>
  <c r="I861" i="5"/>
  <c r="X861" i="5"/>
  <c r="H861" i="5"/>
  <c r="F861" i="5"/>
  <c r="R861" i="5"/>
  <c r="S869" i="5"/>
  <c r="AB897" i="5"/>
  <c r="AB908" i="5"/>
  <c r="I915" i="5"/>
  <c r="AB918" i="5"/>
  <c r="I925" i="5"/>
  <c r="X925" i="5"/>
  <c r="J925" i="5"/>
  <c r="H925" i="5"/>
  <c r="F925" i="5"/>
  <c r="R925" i="5"/>
  <c r="I961" i="5"/>
  <c r="H961" i="5"/>
  <c r="X961" i="5"/>
  <c r="J961" i="5"/>
  <c r="F961" i="5"/>
  <c r="R961" i="5"/>
  <c r="AB1029" i="5"/>
  <c r="S1029" i="5"/>
  <c r="J1069" i="5"/>
  <c r="I1069" i="5"/>
  <c r="H1069" i="5"/>
  <c r="X1069" i="5"/>
  <c r="F1069" i="5"/>
  <c r="R1069" i="5"/>
  <c r="AB1109" i="5"/>
  <c r="S1109" i="5"/>
  <c r="I816" i="5"/>
  <c r="H819" i="5"/>
  <c r="F821" i="5"/>
  <c r="X821" i="5"/>
  <c r="R821" i="5"/>
  <c r="I821" i="5"/>
  <c r="H830" i="5"/>
  <c r="X830" i="5"/>
  <c r="R830" i="5"/>
  <c r="I857" i="5"/>
  <c r="X857" i="5"/>
  <c r="R857" i="5"/>
  <c r="H857" i="5"/>
  <c r="AB859" i="5"/>
  <c r="AB863" i="5"/>
  <c r="AB871" i="5"/>
  <c r="I877" i="5"/>
  <c r="X877" i="5"/>
  <c r="H877" i="5"/>
  <c r="F877" i="5"/>
  <c r="R877" i="5"/>
  <c r="S885" i="5"/>
  <c r="X887" i="5"/>
  <c r="R887" i="5"/>
  <c r="I887" i="5"/>
  <c r="H887" i="5"/>
  <c r="F887" i="5"/>
  <c r="X896" i="5"/>
  <c r="R896" i="5"/>
  <c r="J896" i="5"/>
  <c r="I896" i="5"/>
  <c r="F896" i="5"/>
  <c r="I905" i="5"/>
  <c r="X905" i="5"/>
  <c r="F905" i="5"/>
  <c r="R905" i="5"/>
  <c r="H905" i="5"/>
  <c r="S913" i="5"/>
  <c r="R922" i="5"/>
  <c r="I922" i="5"/>
  <c r="H922" i="5"/>
  <c r="X922" i="5"/>
  <c r="AB928" i="5"/>
  <c r="I949" i="5"/>
  <c r="X949" i="5"/>
  <c r="R949" i="5"/>
  <c r="J949" i="5"/>
  <c r="H949" i="5"/>
  <c r="F949" i="5"/>
  <c r="I965" i="5"/>
  <c r="H965" i="5"/>
  <c r="X965" i="5"/>
  <c r="F965" i="5"/>
  <c r="R965" i="5"/>
  <c r="J965" i="5"/>
  <c r="AB969" i="5"/>
  <c r="S969" i="5"/>
  <c r="AB1061" i="5"/>
  <c r="S1061" i="5"/>
  <c r="AB810" i="5"/>
  <c r="H810" i="5"/>
  <c r="X810" i="5"/>
  <c r="AB816" i="5"/>
  <c r="I819" i="5"/>
  <c r="F825" i="5"/>
  <c r="X825" i="5"/>
  <c r="R825" i="5"/>
  <c r="I825" i="5"/>
  <c r="I838" i="5"/>
  <c r="H838" i="5"/>
  <c r="X838" i="5"/>
  <c r="R838" i="5"/>
  <c r="I846" i="5"/>
  <c r="H846" i="5"/>
  <c r="X846" i="5"/>
  <c r="R846" i="5"/>
  <c r="F857" i="5"/>
  <c r="I873" i="5"/>
  <c r="X873" i="5"/>
  <c r="R873" i="5"/>
  <c r="H873" i="5"/>
  <c r="J877" i="5"/>
  <c r="I893" i="5"/>
  <c r="X893" i="5"/>
  <c r="H893" i="5"/>
  <c r="F893" i="5"/>
  <c r="R893" i="5"/>
  <c r="J905" i="5"/>
  <c r="X908" i="5"/>
  <c r="R908" i="5"/>
  <c r="J908" i="5"/>
  <c r="I908" i="5"/>
  <c r="H908" i="5"/>
  <c r="F908" i="5"/>
  <c r="X920" i="5"/>
  <c r="R920" i="5"/>
  <c r="H920" i="5"/>
  <c r="F920" i="5"/>
  <c r="I920" i="5"/>
  <c r="F922" i="5"/>
  <c r="X936" i="5"/>
  <c r="R936" i="5"/>
  <c r="H936" i="5"/>
  <c r="J936" i="5"/>
  <c r="I936" i="5"/>
  <c r="F936" i="5"/>
  <c r="X963" i="5"/>
  <c r="R963" i="5"/>
  <c r="I963" i="5"/>
  <c r="J963" i="5"/>
  <c r="H963" i="5"/>
  <c r="F963" i="5"/>
  <c r="J1101" i="5"/>
  <c r="I1101" i="5"/>
  <c r="H1101" i="5"/>
  <c r="X1101" i="5"/>
  <c r="F1101" i="5"/>
  <c r="R1101" i="5"/>
  <c r="I865" i="5"/>
  <c r="X865" i="5"/>
  <c r="I881" i="5"/>
  <c r="X881" i="5"/>
  <c r="I897" i="5"/>
  <c r="X897" i="5"/>
  <c r="I913" i="5"/>
  <c r="X913" i="5"/>
  <c r="AB934" i="5"/>
  <c r="X951" i="5"/>
  <c r="R951" i="5"/>
  <c r="I951" i="5"/>
  <c r="F959" i="5"/>
  <c r="X975" i="5"/>
  <c r="R975" i="5"/>
  <c r="I975" i="5"/>
  <c r="AB997" i="5"/>
  <c r="X1014" i="5"/>
  <c r="AB1125" i="5"/>
  <c r="S1125" i="5"/>
  <c r="AB1153" i="5"/>
  <c r="AB1355" i="5"/>
  <c r="S1355" i="5"/>
  <c r="H885" i="5"/>
  <c r="H901" i="5"/>
  <c r="H917" i="5"/>
  <c r="H933" i="5"/>
  <c r="F934" i="5"/>
  <c r="R938" i="5"/>
  <c r="I938" i="5"/>
  <c r="X940" i="5"/>
  <c r="R940" i="5"/>
  <c r="J940" i="5"/>
  <c r="I941" i="5"/>
  <c r="X941" i="5"/>
  <c r="J941" i="5"/>
  <c r="F948" i="5"/>
  <c r="F955" i="5"/>
  <c r="R986" i="5"/>
  <c r="J986" i="5"/>
  <c r="I986" i="5"/>
  <c r="X986" i="5"/>
  <c r="R998" i="5"/>
  <c r="J998" i="5"/>
  <c r="I998" i="5"/>
  <c r="H998" i="5"/>
  <c r="F998" i="5"/>
  <c r="AB1004" i="5"/>
  <c r="AB1013" i="5"/>
  <c r="AB1020" i="5"/>
  <c r="R1026" i="5"/>
  <c r="J1026" i="5"/>
  <c r="I1026" i="5"/>
  <c r="F1026" i="5"/>
  <c r="X1026" i="5"/>
  <c r="R1122" i="5"/>
  <c r="J1122" i="5"/>
  <c r="I1122" i="5"/>
  <c r="H1122" i="5"/>
  <c r="F1122" i="5"/>
  <c r="X1122" i="5"/>
  <c r="AB1143" i="5"/>
  <c r="S1143" i="5"/>
  <c r="AB1144" i="5"/>
  <c r="AB1456" i="5"/>
  <c r="S1456" i="5"/>
  <c r="AB965" i="5"/>
  <c r="AB976" i="5"/>
  <c r="R1010" i="5"/>
  <c r="J1010" i="5"/>
  <c r="I1010" i="5"/>
  <c r="X1010" i="5"/>
  <c r="J1029" i="5"/>
  <c r="I1029" i="5"/>
  <c r="H1029" i="5"/>
  <c r="X1029" i="5"/>
  <c r="R1029" i="5"/>
  <c r="F1029" i="5"/>
  <c r="R1042" i="5"/>
  <c r="J1042" i="5"/>
  <c r="I1042" i="5"/>
  <c r="H1042" i="5"/>
  <c r="F1042" i="5"/>
  <c r="X1042" i="5"/>
  <c r="R1058" i="5"/>
  <c r="J1058" i="5"/>
  <c r="I1058" i="5"/>
  <c r="H1058" i="5"/>
  <c r="F1058" i="5"/>
  <c r="X1058" i="5"/>
  <c r="R1090" i="5"/>
  <c r="J1090" i="5"/>
  <c r="I1090" i="5"/>
  <c r="H1090" i="5"/>
  <c r="F1090" i="5"/>
  <c r="X1090" i="5"/>
  <c r="R1106" i="5"/>
  <c r="J1106" i="5"/>
  <c r="I1106" i="5"/>
  <c r="H1106" i="5"/>
  <c r="F1106" i="5"/>
  <c r="X1106" i="5"/>
  <c r="J1156" i="5"/>
  <c r="I1156" i="5"/>
  <c r="H1156" i="5"/>
  <c r="F1156" i="5"/>
  <c r="X1156" i="5"/>
  <c r="R1156" i="5"/>
  <c r="H1163" i="5"/>
  <c r="J1163" i="5"/>
  <c r="I1163" i="5"/>
  <c r="F1163" i="5"/>
  <c r="X1163" i="5"/>
  <c r="R1163" i="5"/>
  <c r="AB1183" i="5"/>
  <c r="S1183" i="5"/>
  <c r="R862" i="5"/>
  <c r="I862" i="5"/>
  <c r="R878" i="5"/>
  <c r="I878" i="5"/>
  <c r="R894" i="5"/>
  <c r="I894" i="5"/>
  <c r="H897" i="5"/>
  <c r="R910" i="5"/>
  <c r="I910" i="5"/>
  <c r="H913" i="5"/>
  <c r="R926" i="5"/>
  <c r="I926" i="5"/>
  <c r="X939" i="5"/>
  <c r="R939" i="5"/>
  <c r="I939" i="5"/>
  <c r="X943" i="5"/>
  <c r="R943" i="5"/>
  <c r="I943" i="5"/>
  <c r="I948" i="5"/>
  <c r="J953" i="5"/>
  <c r="I957" i="5"/>
  <c r="H957" i="5"/>
  <c r="X957" i="5"/>
  <c r="R957" i="5"/>
  <c r="X959" i="5"/>
  <c r="R959" i="5"/>
  <c r="I959" i="5"/>
  <c r="H959" i="5"/>
  <c r="H967" i="5"/>
  <c r="J969" i="5"/>
  <c r="J973" i="5"/>
  <c r="R978" i="5"/>
  <c r="J978" i="5"/>
  <c r="I978" i="5"/>
  <c r="X978" i="5"/>
  <c r="J997" i="5"/>
  <c r="I997" i="5"/>
  <c r="H997" i="5"/>
  <c r="X997" i="5"/>
  <c r="F997" i="5"/>
  <c r="AB1005" i="5"/>
  <c r="J1009" i="5"/>
  <c r="I1009" i="5"/>
  <c r="H1009" i="5"/>
  <c r="X1009" i="5"/>
  <c r="R1014" i="5"/>
  <c r="J1014" i="5"/>
  <c r="I1014" i="5"/>
  <c r="H1014" i="5"/>
  <c r="F1014" i="5"/>
  <c r="AB1021" i="5"/>
  <c r="J1025" i="5"/>
  <c r="I1025" i="5"/>
  <c r="H1025" i="5"/>
  <c r="X1025" i="5"/>
  <c r="AB1188" i="5"/>
  <c r="J1212" i="5"/>
  <c r="I1212" i="5"/>
  <c r="R1212" i="5"/>
  <c r="H1212" i="5"/>
  <c r="X1212" i="5"/>
  <c r="F1212" i="5"/>
  <c r="AB1266" i="5"/>
  <c r="AB857" i="5"/>
  <c r="AB862" i="5"/>
  <c r="J865" i="5"/>
  <c r="AB873" i="5"/>
  <c r="AB878" i="5"/>
  <c r="J881" i="5"/>
  <c r="AB889" i="5"/>
  <c r="AB894" i="5"/>
  <c r="J897" i="5"/>
  <c r="S901" i="5"/>
  <c r="AB905" i="5"/>
  <c r="AB910" i="5"/>
  <c r="J913" i="5"/>
  <c r="S917" i="5"/>
  <c r="AB921" i="5"/>
  <c r="X926" i="5"/>
  <c r="AB926" i="5"/>
  <c r="F938" i="5"/>
  <c r="F939" i="5"/>
  <c r="AB961" i="5"/>
  <c r="AB981" i="5"/>
  <c r="AB996" i="5"/>
  <c r="R1002" i="5"/>
  <c r="J1002" i="5"/>
  <c r="I1002" i="5"/>
  <c r="X1002" i="5"/>
  <c r="S1013" i="5"/>
  <c r="J1121" i="5"/>
  <c r="I1121" i="5"/>
  <c r="H1121" i="5"/>
  <c r="X1121" i="5"/>
  <c r="R1121" i="5"/>
  <c r="F1121" i="5"/>
  <c r="R1135" i="5"/>
  <c r="J1135" i="5"/>
  <c r="I1135" i="5"/>
  <c r="F1135" i="5"/>
  <c r="H1135" i="5"/>
  <c r="X1135" i="5"/>
  <c r="J1172" i="5"/>
  <c r="I1172" i="5"/>
  <c r="R1172" i="5"/>
  <c r="H1172" i="5"/>
  <c r="F1172" i="5"/>
  <c r="X1172" i="5"/>
  <c r="AB1180" i="5"/>
  <c r="J1220" i="5"/>
  <c r="I1220" i="5"/>
  <c r="H1220" i="5"/>
  <c r="F1220" i="5"/>
  <c r="X1220" i="5"/>
  <c r="R1220" i="5"/>
  <c r="H1227" i="5"/>
  <c r="J1227" i="5"/>
  <c r="I1227" i="5"/>
  <c r="F1227" i="5"/>
  <c r="X1227" i="5"/>
  <c r="R1227" i="5"/>
  <c r="J1240" i="5"/>
  <c r="I1240" i="5"/>
  <c r="F1240" i="5"/>
  <c r="X1240" i="5"/>
  <c r="R1240" i="5"/>
  <c r="AB1262" i="5"/>
  <c r="R1513" i="5"/>
  <c r="J1513" i="5"/>
  <c r="H1513" i="5"/>
  <c r="I1513" i="5"/>
  <c r="F1513" i="5"/>
  <c r="X1513" i="5"/>
  <c r="I885" i="5"/>
  <c r="X885" i="5"/>
  <c r="I901" i="5"/>
  <c r="X901" i="5"/>
  <c r="I917" i="5"/>
  <c r="X917" i="5"/>
  <c r="I933" i="5"/>
  <c r="X933" i="5"/>
  <c r="S945" i="5"/>
  <c r="I953" i="5"/>
  <c r="H953" i="5"/>
  <c r="X953" i="5"/>
  <c r="R954" i="5"/>
  <c r="J954" i="5"/>
  <c r="I954" i="5"/>
  <c r="X955" i="5"/>
  <c r="R955" i="5"/>
  <c r="I955" i="5"/>
  <c r="J955" i="5"/>
  <c r="X998" i="5"/>
  <c r="J1001" i="5"/>
  <c r="I1001" i="5"/>
  <c r="H1001" i="5"/>
  <c r="X1001" i="5"/>
  <c r="R1001" i="5"/>
  <c r="J1013" i="5"/>
  <c r="I1013" i="5"/>
  <c r="H1013" i="5"/>
  <c r="X1013" i="5"/>
  <c r="F1013" i="5"/>
  <c r="AB1036" i="5"/>
  <c r="J1041" i="5"/>
  <c r="I1041" i="5"/>
  <c r="H1041" i="5"/>
  <c r="X1041" i="5"/>
  <c r="R1041" i="5"/>
  <c r="F1041" i="5"/>
  <c r="AB1052" i="5"/>
  <c r="J1057" i="5"/>
  <c r="I1057" i="5"/>
  <c r="H1057" i="5"/>
  <c r="X1057" i="5"/>
  <c r="R1057" i="5"/>
  <c r="F1057" i="5"/>
  <c r="AB1068" i="5"/>
  <c r="J1073" i="5"/>
  <c r="I1073" i="5"/>
  <c r="H1073" i="5"/>
  <c r="X1073" i="5"/>
  <c r="R1073" i="5"/>
  <c r="F1073" i="5"/>
  <c r="AB1084" i="5"/>
  <c r="J1089" i="5"/>
  <c r="I1089" i="5"/>
  <c r="H1089" i="5"/>
  <c r="X1089" i="5"/>
  <c r="R1089" i="5"/>
  <c r="F1089" i="5"/>
  <c r="AB1100" i="5"/>
  <c r="J1105" i="5"/>
  <c r="I1105" i="5"/>
  <c r="H1105" i="5"/>
  <c r="X1105" i="5"/>
  <c r="R1105" i="5"/>
  <c r="F1105" i="5"/>
  <c r="AB1116" i="5"/>
  <c r="AB1136" i="5"/>
  <c r="S1136" i="5"/>
  <c r="H1199" i="5"/>
  <c r="R1199" i="5"/>
  <c r="J1199" i="5"/>
  <c r="F1199" i="5"/>
  <c r="X1199" i="5"/>
  <c r="I1199" i="5"/>
  <c r="H1240" i="5"/>
  <c r="AB1258" i="5"/>
  <c r="S1418" i="5"/>
  <c r="AB1418" i="5"/>
  <c r="AB901" i="5"/>
  <c r="AB906" i="5"/>
  <c r="AB917" i="5"/>
  <c r="AB922" i="5"/>
  <c r="R934" i="5"/>
  <c r="I934" i="5"/>
  <c r="X935" i="5"/>
  <c r="R935" i="5"/>
  <c r="I935" i="5"/>
  <c r="J935" i="5"/>
  <c r="X948" i="5"/>
  <c r="R948" i="5"/>
  <c r="AB957" i="5"/>
  <c r="S965" i="5"/>
  <c r="R966" i="5"/>
  <c r="J966" i="5"/>
  <c r="I966" i="5"/>
  <c r="F966" i="5"/>
  <c r="I969" i="5"/>
  <c r="H969" i="5"/>
  <c r="X969" i="5"/>
  <c r="I973" i="5"/>
  <c r="H973" i="5"/>
  <c r="X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X1176" i="5"/>
  <c r="J1184" i="5"/>
  <c r="I1184" i="5"/>
  <c r="X1184" i="5"/>
  <c r="H1184" i="5"/>
  <c r="R1221" i="5"/>
  <c r="J1221" i="5"/>
  <c r="I1221" i="5"/>
  <c r="AB1240" i="5"/>
  <c r="S1240" i="5"/>
  <c r="X1345" i="5"/>
  <c r="I1345" i="5"/>
  <c r="H1345" i="5"/>
  <c r="F1345" i="5"/>
  <c r="R1345" i="5"/>
  <c r="I1383" i="5"/>
  <c r="H1383" i="5"/>
  <c r="X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X1361" i="5"/>
  <c r="I1361" i="5"/>
  <c r="R1361" i="5"/>
  <c r="J1361" i="5"/>
  <c r="H1361" i="5"/>
  <c r="F1361" i="5"/>
  <c r="X1373" i="5"/>
  <c r="I1373" i="5"/>
  <c r="H1373" i="5"/>
  <c r="F1373" i="5"/>
  <c r="R1373" i="5"/>
  <c r="J1373" i="5"/>
  <c r="X1389" i="5"/>
  <c r="I1389" i="5"/>
  <c r="H1389" i="5"/>
  <c r="F1389" i="5"/>
  <c r="R1389" i="5"/>
  <c r="J1389" i="5"/>
  <c r="AB1400" i="5"/>
  <c r="S1400" i="5"/>
  <c r="AB1416" i="5"/>
  <c r="S1416" i="5"/>
  <c r="X1502"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AB1158" i="5"/>
  <c r="S1158" i="5"/>
  <c r="J1160" i="5"/>
  <c r="I1160" i="5"/>
  <c r="R1160" i="5"/>
  <c r="H1160" i="5"/>
  <c r="F1160" i="5"/>
  <c r="AB1182" i="5"/>
  <c r="R1185" i="5"/>
  <c r="I1185" i="5"/>
  <c r="H1185" i="5"/>
  <c r="F1185" i="5"/>
  <c r="AB1187" i="5"/>
  <c r="S1187" i="5"/>
  <c r="S1194" i="5"/>
  <c r="J1200" i="5"/>
  <c r="I1200" i="5"/>
  <c r="R1200" i="5"/>
  <c r="H1200" i="5"/>
  <c r="F1200" i="5"/>
  <c r="AB1208" i="5"/>
  <c r="S1208" i="5"/>
  <c r="X1217" i="5"/>
  <c r="H1219" i="5"/>
  <c r="R1219" i="5"/>
  <c r="J1219" i="5"/>
  <c r="I1219" i="5"/>
  <c r="X1219" i="5"/>
  <c r="AB1222" i="5"/>
  <c r="S1222" i="5"/>
  <c r="AB1244" i="5"/>
  <c r="AB1252" i="5"/>
  <c r="AB1413" i="5"/>
  <c r="S1413" i="5"/>
  <c r="R1537" i="5"/>
  <c r="J1537" i="5"/>
  <c r="I1537" i="5"/>
  <c r="H1537" i="5"/>
  <c r="F1537" i="5"/>
  <c r="X1537" i="5"/>
  <c r="R1545" i="5"/>
  <c r="J1545" i="5"/>
  <c r="I1545" i="5"/>
  <c r="H1545" i="5"/>
  <c r="F1545" i="5"/>
  <c r="X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X1151" i="5"/>
  <c r="F1157" i="5"/>
  <c r="R1189" i="5"/>
  <c r="J1189" i="5"/>
  <c r="I1189" i="5"/>
  <c r="X1200" i="5"/>
  <c r="J1208" i="5"/>
  <c r="I1208" i="5"/>
  <c r="F1208" i="5"/>
  <c r="X1208" i="5"/>
  <c r="J1216" i="5"/>
  <c r="I1216" i="5"/>
  <c r="X1216" i="5"/>
  <c r="H1216" i="5"/>
  <c r="F1221" i="5"/>
  <c r="J1248" i="5"/>
  <c r="I1248" i="5"/>
  <c r="X1248" i="5"/>
  <c r="H1248" i="5"/>
  <c r="R1342" i="5"/>
  <c r="I1342" i="5"/>
  <c r="H1342" i="5"/>
  <c r="F1342" i="5"/>
  <c r="X1342"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X1192" i="5"/>
  <c r="AB1220" i="5"/>
  <c r="J1232" i="5"/>
  <c r="I1232" i="5"/>
  <c r="R1232" i="5"/>
  <c r="H1232" i="5"/>
  <c r="F1232" i="5"/>
  <c r="R1256" i="5"/>
  <c r="J1256" i="5"/>
  <c r="I1256" i="5"/>
  <c r="F1256" i="5"/>
  <c r="X1256" i="5"/>
  <c r="R1260" i="5"/>
  <c r="J1260" i="5"/>
  <c r="I1260" i="5"/>
  <c r="F1260" i="5"/>
  <c r="X1260" i="5"/>
  <c r="R1264" i="5"/>
  <c r="J1264" i="5"/>
  <c r="I1264" i="5"/>
  <c r="F1264" i="5"/>
  <c r="X1264" i="5"/>
  <c r="R1268" i="5"/>
  <c r="J1268" i="5"/>
  <c r="I1268" i="5"/>
  <c r="F1268" i="5"/>
  <c r="X1268" i="5"/>
  <c r="R1276" i="5"/>
  <c r="J1276" i="5"/>
  <c r="I1276" i="5"/>
  <c r="F1276" i="5"/>
  <c r="X1276" i="5"/>
  <c r="R1280" i="5"/>
  <c r="J1280" i="5"/>
  <c r="I1280" i="5"/>
  <c r="F1280" i="5"/>
  <c r="X1280" i="5"/>
  <c r="R1284" i="5"/>
  <c r="J1284" i="5"/>
  <c r="I1284" i="5"/>
  <c r="F1284" i="5"/>
  <c r="X1284" i="5"/>
  <c r="R1288" i="5"/>
  <c r="J1288" i="5"/>
  <c r="I1288" i="5"/>
  <c r="F1288" i="5"/>
  <c r="X1288" i="5"/>
  <c r="R1296" i="5"/>
  <c r="J1296" i="5"/>
  <c r="I1296" i="5"/>
  <c r="F1296" i="5"/>
  <c r="X1296" i="5"/>
  <c r="R1300" i="5"/>
  <c r="J1300" i="5"/>
  <c r="I1300" i="5"/>
  <c r="F1300" i="5"/>
  <c r="X1300" i="5"/>
  <c r="R1312" i="5"/>
  <c r="J1312" i="5"/>
  <c r="I1312" i="5"/>
  <c r="F1312" i="5"/>
  <c r="X1312" i="5"/>
  <c r="R1316" i="5"/>
  <c r="J1316" i="5"/>
  <c r="I1316" i="5"/>
  <c r="F1316" i="5"/>
  <c r="X1316" i="5"/>
  <c r="R1324" i="5"/>
  <c r="J1324" i="5"/>
  <c r="I1324" i="5"/>
  <c r="F1324" i="5"/>
  <c r="X1324" i="5"/>
  <c r="R1328" i="5"/>
  <c r="J1328" i="5"/>
  <c r="I1328" i="5"/>
  <c r="F1328" i="5"/>
  <c r="X1328" i="5"/>
  <c r="R1332" i="5"/>
  <c r="J1332" i="5"/>
  <c r="I1332" i="5"/>
  <c r="F1332" i="5"/>
  <c r="X1332" i="5"/>
  <c r="AB1368" i="5"/>
  <c r="AB1384" i="5"/>
  <c r="AB1388" i="5"/>
  <c r="AB1398" i="5"/>
  <c r="AB1407" i="5"/>
  <c r="H1432" i="5"/>
  <c r="X1432" i="5"/>
  <c r="F1432" i="5"/>
  <c r="R1432" i="5"/>
  <c r="I1432" i="5"/>
  <c r="J1432" i="5"/>
  <c r="S1494" i="5"/>
  <c r="AB1494" i="5"/>
  <c r="AB1028" i="5"/>
  <c r="AB1037" i="5"/>
  <c r="AB1044" i="5"/>
  <c r="AB1053" i="5"/>
  <c r="AB1060" i="5"/>
  <c r="AB1069" i="5"/>
  <c r="AB1076" i="5"/>
  <c r="AB1085" i="5"/>
  <c r="AB1092" i="5"/>
  <c r="AB1101" i="5"/>
  <c r="AB1108" i="5"/>
  <c r="AB1117" i="5"/>
  <c r="X1118" i="5"/>
  <c r="AB1124" i="5"/>
  <c r="AB1139" i="5"/>
  <c r="AB1141" i="5"/>
  <c r="AB1148" i="5"/>
  <c r="X1149" i="5"/>
  <c r="R1209" i="5"/>
  <c r="J1209" i="5"/>
  <c r="I1209" i="5"/>
  <c r="H1209" i="5"/>
  <c r="F1209" i="5"/>
  <c r="AB1215" i="5"/>
  <c r="S1215" i="5"/>
  <c r="X1232" i="5"/>
  <c r="J1236" i="5"/>
  <c r="I1236" i="5"/>
  <c r="R1236" i="5"/>
  <c r="F1236" i="5"/>
  <c r="R1249" i="5"/>
  <c r="I1249" i="5"/>
  <c r="H1249" i="5"/>
  <c r="F1249" i="5"/>
  <c r="AB1251" i="5"/>
  <c r="S1251" i="5"/>
  <c r="J1252" i="5"/>
  <c r="I1252" i="5"/>
  <c r="H1252" i="5"/>
  <c r="F1252" i="5"/>
  <c r="X1252" i="5"/>
  <c r="J1345" i="5"/>
  <c r="I1351" i="5"/>
  <c r="H1351" i="5"/>
  <c r="X1351" i="5"/>
  <c r="R1351" i="5"/>
  <c r="J1351" i="5"/>
  <c r="R1620" i="5"/>
  <c r="J1620" i="5"/>
  <c r="I1620" i="5"/>
  <c r="H1620" i="5"/>
  <c r="F1620" i="5"/>
  <c r="X1620" i="5"/>
  <c r="J1045" i="5"/>
  <c r="I1045" i="5"/>
  <c r="H1045" i="5"/>
  <c r="X1045" i="5"/>
  <c r="R1046" i="5"/>
  <c r="J1046" i="5"/>
  <c r="I1046" i="5"/>
  <c r="J1061" i="5"/>
  <c r="I1061" i="5"/>
  <c r="H1061" i="5"/>
  <c r="X1061" i="5"/>
  <c r="R1062" i="5"/>
  <c r="J1062" i="5"/>
  <c r="I1062" i="5"/>
  <c r="J1077" i="5"/>
  <c r="I1077" i="5"/>
  <c r="H1077" i="5"/>
  <c r="X1077" i="5"/>
  <c r="R1078" i="5"/>
  <c r="J1078" i="5"/>
  <c r="I1078" i="5"/>
  <c r="J1093" i="5"/>
  <c r="I1093" i="5"/>
  <c r="H1093" i="5"/>
  <c r="X1093" i="5"/>
  <c r="R1094" i="5"/>
  <c r="J1094" i="5"/>
  <c r="I1094" i="5"/>
  <c r="X1098" i="5"/>
  <c r="J1109" i="5"/>
  <c r="I1109" i="5"/>
  <c r="H1109" i="5"/>
  <c r="X1109" i="5"/>
  <c r="R1110" i="5"/>
  <c r="J1125" i="5"/>
  <c r="I1125" i="5"/>
  <c r="H1125" i="5"/>
  <c r="X1125" i="5"/>
  <c r="R1126" i="5"/>
  <c r="J1126" i="5"/>
  <c r="I1126" i="5"/>
  <c r="AB1134" i="5"/>
  <c r="X1142" i="5"/>
  <c r="R1142" i="5"/>
  <c r="J1142" i="5"/>
  <c r="I1142" i="5"/>
  <c r="X1148" i="5"/>
  <c r="R1151" i="5"/>
  <c r="J1151" i="5"/>
  <c r="I1151" i="5"/>
  <c r="F1151" i="5"/>
  <c r="AB1155" i="5"/>
  <c r="S1155" i="5"/>
  <c r="S1162" i="5"/>
  <c r="J1168" i="5"/>
  <c r="I1168" i="5"/>
  <c r="R1168" i="5"/>
  <c r="H1168" i="5"/>
  <c r="F1168" i="5"/>
  <c r="AB1176" i="5"/>
  <c r="S1176" i="5"/>
  <c r="H1187" i="5"/>
  <c r="R1187" i="5"/>
  <c r="J1187" i="5"/>
  <c r="I1187" i="5"/>
  <c r="X1187" i="5"/>
  <c r="AB1190" i="5"/>
  <c r="S1190" i="5"/>
  <c r="J1192" i="5"/>
  <c r="I1192" i="5"/>
  <c r="R1192" i="5"/>
  <c r="H1192" i="5"/>
  <c r="F1192" i="5"/>
  <c r="AB1214" i="5"/>
  <c r="R1217" i="5"/>
  <c r="I1217" i="5"/>
  <c r="H1217" i="5"/>
  <c r="F1217" i="5"/>
  <c r="AB1219" i="5"/>
  <c r="S1219" i="5"/>
  <c r="S1226" i="5"/>
  <c r="AB1247" i="5"/>
  <c r="S1247" i="5"/>
  <c r="X1337" i="5"/>
  <c r="I1337" i="5"/>
  <c r="H1337" i="5"/>
  <c r="F1337" i="5"/>
  <c r="X1353" i="5"/>
  <c r="I1353" i="5"/>
  <c r="F1353" i="5"/>
  <c r="S1357" i="5"/>
  <c r="I1363" i="5"/>
  <c r="H1363" i="5"/>
  <c r="X1363" i="5"/>
  <c r="F1363" i="5"/>
  <c r="AB1367" i="5"/>
  <c r="AB1387" i="5"/>
  <c r="S1387" i="5"/>
  <c r="X1393" i="5"/>
  <c r="I1393" i="5"/>
  <c r="R1393" i="5"/>
  <c r="J1393" i="5"/>
  <c r="H1393" i="5"/>
  <c r="R1396" i="5"/>
  <c r="J1396" i="5"/>
  <c r="X1396" i="5"/>
  <c r="S1402" i="5"/>
  <c r="AB1402" i="5"/>
  <c r="H1424" i="5"/>
  <c r="X1424" i="5"/>
  <c r="F1424" i="5"/>
  <c r="R1424" i="5"/>
  <c r="I1424" i="5"/>
  <c r="J1478" i="5"/>
  <c r="I1478" i="5"/>
  <c r="F1478" i="5"/>
  <c r="X1478" i="5"/>
  <c r="R1478" i="5"/>
  <c r="X151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X1182" i="5"/>
  <c r="I1186" i="5"/>
  <c r="AB1192" i="5"/>
  <c r="AB1195" i="5"/>
  <c r="H1201" i="5"/>
  <c r="F1214" i="5"/>
  <c r="X1214" i="5"/>
  <c r="I1218" i="5"/>
  <c r="AB1224" i="5"/>
  <c r="J1225" i="5"/>
  <c r="AB1227" i="5"/>
  <c r="F1241" i="5"/>
  <c r="F1246" i="5"/>
  <c r="X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X1387" i="5"/>
  <c r="R1387" i="5"/>
  <c r="F1396" i="5"/>
  <c r="I1408" i="5"/>
  <c r="I1410" i="5"/>
  <c r="J1410" i="5"/>
  <c r="H1410" i="5"/>
  <c r="X1410" i="5"/>
  <c r="F1410" i="5"/>
  <c r="J1458" i="5"/>
  <c r="I1458" i="5"/>
  <c r="R1458" i="5"/>
  <c r="H1458" i="5"/>
  <c r="X1458" i="5"/>
  <c r="F1458" i="5"/>
  <c r="J1469" i="5"/>
  <c r="H1469" i="5"/>
  <c r="X1469" i="5"/>
  <c r="R1469" i="5"/>
  <c r="AB1484" i="5"/>
  <c r="AB1489" i="5"/>
  <c r="F1503" i="5"/>
  <c r="R1503" i="5"/>
  <c r="H1503" i="5"/>
  <c r="X1503" i="5"/>
  <c r="J1503" i="5"/>
  <c r="F1531" i="5"/>
  <c r="R1531" i="5"/>
  <c r="I1531" i="5"/>
  <c r="H1531" i="5"/>
  <c r="J1531" i="5"/>
  <c r="X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X1355" i="5"/>
  <c r="R1355" i="5"/>
  <c r="AB1363" i="5"/>
  <c r="R1364" i="5"/>
  <c r="J1364" i="5"/>
  <c r="X1364" i="5"/>
  <c r="S1367" i="5"/>
  <c r="X1369" i="5"/>
  <c r="I1369" i="5"/>
  <c r="F1369" i="5"/>
  <c r="S1373" i="5"/>
  <c r="I1379" i="5"/>
  <c r="H1379" i="5"/>
  <c r="X1379" i="5"/>
  <c r="F1379" i="5"/>
  <c r="AB1383" i="5"/>
  <c r="J1395" i="5"/>
  <c r="I1396" i="5"/>
  <c r="AB1436" i="5"/>
  <c r="S1436" i="5"/>
  <c r="F1442" i="5"/>
  <c r="J1446" i="5"/>
  <c r="I1446" i="5"/>
  <c r="F1446" i="5"/>
  <c r="X1446" i="5"/>
  <c r="R1446" i="5"/>
  <c r="F1459" i="5"/>
  <c r="R1459" i="5"/>
  <c r="X1459" i="5"/>
  <c r="J1459" i="5"/>
  <c r="I1459" i="5"/>
  <c r="H1459" i="5"/>
  <c r="R1529" i="5"/>
  <c r="J1529" i="5"/>
  <c r="H1529" i="5"/>
  <c r="I1529" i="5"/>
  <c r="X1529" i="5"/>
  <c r="J1535" i="5"/>
  <c r="S1549" i="5"/>
  <c r="AB1549" i="5"/>
  <c r="S1138" i="5"/>
  <c r="S1140" i="5"/>
  <c r="S1147" i="5"/>
  <c r="S1154" i="5"/>
  <c r="F1178" i="5"/>
  <c r="X1178" i="5"/>
  <c r="AB1178" i="5"/>
  <c r="F1210" i="5"/>
  <c r="X1210" i="5"/>
  <c r="AB1210" i="5"/>
  <c r="I1241" i="5"/>
  <c r="F1242" i="5"/>
  <c r="X1242" i="5"/>
  <c r="AB1242" i="5"/>
  <c r="X1357" i="5"/>
  <c r="I1357" i="5"/>
  <c r="H1357" i="5"/>
  <c r="F1357" i="5"/>
  <c r="I1367" i="5"/>
  <c r="H1367" i="5"/>
  <c r="X1367" i="5"/>
  <c r="R1367" i="5"/>
  <c r="J1367" i="5"/>
  <c r="S1393" i="5"/>
  <c r="AB1399" i="5"/>
  <c r="S1399" i="5"/>
  <c r="H1408" i="5"/>
  <c r="X1408" i="5"/>
  <c r="F1408" i="5"/>
  <c r="AB1414" i="5"/>
  <c r="H1416" i="5"/>
  <c r="X1416" i="5"/>
  <c r="F1416" i="5"/>
  <c r="R1416" i="5"/>
  <c r="J1416" i="5"/>
  <c r="I1416" i="5"/>
  <c r="I1418" i="5"/>
  <c r="J1418" i="5"/>
  <c r="H1418" i="5"/>
  <c r="X1418" i="5"/>
  <c r="R1418" i="5"/>
  <c r="F1418" i="5"/>
  <c r="AB1428" i="5"/>
  <c r="S1428" i="5"/>
  <c r="J1462" i="5"/>
  <c r="I1462" i="5"/>
  <c r="R1462" i="5"/>
  <c r="F1462" i="5"/>
  <c r="X1462" i="5"/>
  <c r="AB1473" i="5"/>
  <c r="S1473" i="5"/>
  <c r="J1474" i="5"/>
  <c r="I1474" i="5"/>
  <c r="X1474" i="5"/>
  <c r="R1474" i="5"/>
  <c r="H1474" i="5"/>
  <c r="F1474" i="5"/>
  <c r="F1483" i="5"/>
  <c r="R1483" i="5"/>
  <c r="I1483" i="5"/>
  <c r="H1483" i="5"/>
  <c r="J1483" i="5"/>
  <c r="X1542" i="5"/>
  <c r="R1542" i="5"/>
  <c r="J1542" i="5"/>
  <c r="I1542" i="5"/>
  <c r="H1542" i="5"/>
  <c r="F1542" i="5"/>
  <c r="AB1642" i="5"/>
  <c r="S1642" i="5"/>
  <c r="F1136" i="5"/>
  <c r="F1152" i="5"/>
  <c r="S1160" i="5"/>
  <c r="F1161" i="5"/>
  <c r="I1165" i="5"/>
  <c r="F1166" i="5"/>
  <c r="X1166" i="5"/>
  <c r="AB1166" i="5"/>
  <c r="S1174" i="5"/>
  <c r="AB1179" i="5"/>
  <c r="J1182" i="5"/>
  <c r="H1190" i="5"/>
  <c r="S1192" i="5"/>
  <c r="I1197" i="5"/>
  <c r="F1198" i="5"/>
  <c r="AB1198" i="5"/>
  <c r="S1206" i="5"/>
  <c r="AB1211" i="5"/>
  <c r="J1214" i="5"/>
  <c r="S1224" i="5"/>
  <c r="F1225" i="5"/>
  <c r="I1229" i="5"/>
  <c r="F1230" i="5"/>
  <c r="X1230" i="5"/>
  <c r="AB1230" i="5"/>
  <c r="S1238" i="5"/>
  <c r="J1241" i="5"/>
  <c r="AB1243" i="5"/>
  <c r="J1246" i="5"/>
  <c r="F1336" i="5"/>
  <c r="J1337" i="5"/>
  <c r="X1341" i="5"/>
  <c r="I1341" i="5"/>
  <c r="R1341" i="5"/>
  <c r="AB1345" i="5"/>
  <c r="AB1347" i="5"/>
  <c r="AB1351" i="5"/>
  <c r="I1352" i="5"/>
  <c r="H1353" i="5"/>
  <c r="J1363" i="5"/>
  <c r="H1364" i="5"/>
  <c r="AB1371" i="5"/>
  <c r="S1371" i="5"/>
  <c r="X1377" i="5"/>
  <c r="I1377" i="5"/>
  <c r="R1377" i="5"/>
  <c r="J1377" i="5"/>
  <c r="H1377" i="5"/>
  <c r="AB1378" i="5"/>
  <c r="H1412" i="5"/>
  <c r="X1412" i="5"/>
  <c r="R1412" i="5"/>
  <c r="I1412" i="5"/>
  <c r="F1412" i="5"/>
  <c r="AB1420" i="5"/>
  <c r="S1420" i="5"/>
  <c r="S1434" i="5"/>
  <c r="X1483" i="5"/>
  <c r="X1498" i="5"/>
  <c r="J1498" i="5"/>
  <c r="I1498" i="5"/>
  <c r="R1498" i="5"/>
  <c r="H1498" i="5"/>
  <c r="R1509" i="5"/>
  <c r="J1509" i="5"/>
  <c r="H1509" i="5"/>
  <c r="X1509" i="5"/>
  <c r="F1509" i="5"/>
  <c r="AB1532" i="5"/>
  <c r="S1532" i="5"/>
  <c r="X1541" i="5"/>
  <c r="S1142" i="5"/>
  <c r="AB1167" i="5"/>
  <c r="F1186" i="5"/>
  <c r="X1186" i="5"/>
  <c r="AB1186" i="5"/>
  <c r="AB1199" i="5"/>
  <c r="F1218" i="5"/>
  <c r="X1218" i="5"/>
  <c r="AB1218" i="5"/>
  <c r="AB1231" i="5"/>
  <c r="F1250" i="5"/>
  <c r="X1250" i="5"/>
  <c r="AB1250" i="5"/>
  <c r="X1257" i="5"/>
  <c r="R1257" i="5"/>
  <c r="X1261" i="5"/>
  <c r="R1261" i="5"/>
  <c r="X1265" i="5"/>
  <c r="R1265" i="5"/>
  <c r="X1269" i="5"/>
  <c r="R1269" i="5"/>
  <c r="X1273" i="5"/>
  <c r="R1273" i="5"/>
  <c r="X1277" i="5"/>
  <c r="R1277" i="5"/>
  <c r="X1281" i="5"/>
  <c r="R1281" i="5"/>
  <c r="R1289" i="5"/>
  <c r="X1293" i="5"/>
  <c r="R1293" i="5"/>
  <c r="X1301" i="5"/>
  <c r="R1301" i="5"/>
  <c r="X1305" i="5"/>
  <c r="R1305" i="5"/>
  <c r="X1309" i="5"/>
  <c r="R1309" i="5"/>
  <c r="X1321" i="5"/>
  <c r="R1321" i="5"/>
  <c r="X1333" i="5"/>
  <c r="R1333" i="5"/>
  <c r="R1337" i="5"/>
  <c r="J1353" i="5"/>
  <c r="R1356" i="5"/>
  <c r="J1356" i="5"/>
  <c r="I1356" i="5"/>
  <c r="H1356" i="5"/>
  <c r="AB1357" i="5"/>
  <c r="S1361" i="5"/>
  <c r="R1363" i="5"/>
  <c r="AB1370" i="5"/>
  <c r="I1371" i="5"/>
  <c r="H1371" i="5"/>
  <c r="X1371" i="5"/>
  <c r="R1371" i="5"/>
  <c r="AB1379" i="5"/>
  <c r="R1380" i="5"/>
  <c r="J1380" i="5"/>
  <c r="X1380" i="5"/>
  <c r="S1389" i="5"/>
  <c r="F1393" i="5"/>
  <c r="I1395" i="5"/>
  <c r="H1395" i="5"/>
  <c r="X1395" i="5"/>
  <c r="F1395" i="5"/>
  <c r="S1426" i="5"/>
  <c r="AB1441" i="5"/>
  <c r="S1441" i="5"/>
  <c r="J1442" i="5"/>
  <c r="I1442" i="5"/>
  <c r="X1442" i="5"/>
  <c r="R1442" i="5"/>
  <c r="H1442" i="5"/>
  <c r="AB1452" i="5"/>
  <c r="S1452" i="5"/>
  <c r="J1453" i="5"/>
  <c r="H1453" i="5"/>
  <c r="R1453" i="5"/>
  <c r="X1453" i="5"/>
  <c r="F1453" i="5"/>
  <c r="R1481" i="5"/>
  <c r="J1481" i="5"/>
  <c r="H1481" i="5"/>
  <c r="I1481" i="5"/>
  <c r="F1481" i="5"/>
  <c r="X1481" i="5"/>
  <c r="R1493" i="5"/>
  <c r="J1493" i="5"/>
  <c r="H1493" i="5"/>
  <c r="X1493" i="5"/>
  <c r="I1493" i="5"/>
  <c r="F1493" i="5"/>
  <c r="AB1500" i="5"/>
  <c r="S1500" i="5"/>
  <c r="AB1504" i="5"/>
  <c r="S1504" i="5"/>
  <c r="S1506" i="5"/>
  <c r="AB1506" i="5"/>
  <c r="F1515" i="5"/>
  <c r="R1515" i="5"/>
  <c r="I1515" i="5"/>
  <c r="H1515" i="5"/>
  <c r="F1518" i="5"/>
  <c r="X1530" i="5"/>
  <c r="J1530" i="5"/>
  <c r="I1530" i="5"/>
  <c r="R1530" i="5"/>
  <c r="H1530" i="5"/>
  <c r="F1530" i="5"/>
  <c r="AB1634" i="5"/>
  <c r="S1634" i="5"/>
  <c r="AB1395" i="5"/>
  <c r="AB1412" i="5"/>
  <c r="S1412" i="5"/>
  <c r="S1458" i="5"/>
  <c r="AB1458" i="5"/>
  <c r="F1463" i="5"/>
  <c r="R1463" i="5"/>
  <c r="H1463" i="5"/>
  <c r="AB1472" i="5"/>
  <c r="S1472" i="5"/>
  <c r="F1475" i="5"/>
  <c r="R1475" i="5"/>
  <c r="J1475" i="5"/>
  <c r="X1475" i="5"/>
  <c r="S1510" i="5"/>
  <c r="AB1510" i="5"/>
  <c r="S1522" i="5"/>
  <c r="X1549" i="5"/>
  <c r="J1549" i="5"/>
  <c r="I1549" i="5"/>
  <c r="H1549" i="5"/>
  <c r="F1549" i="5"/>
  <c r="R1549" i="5"/>
  <c r="J1756" i="5"/>
  <c r="I1756" i="5"/>
  <c r="H1756" i="5"/>
  <c r="X1756" i="5"/>
  <c r="R1756" i="5"/>
  <c r="F1756" i="5"/>
  <c r="S1353" i="5"/>
  <c r="S1369" i="5"/>
  <c r="S1385" i="5"/>
  <c r="AB1415" i="5"/>
  <c r="AB1424" i="5"/>
  <c r="S1424" i="5"/>
  <c r="AB1432" i="5"/>
  <c r="S1432" i="5"/>
  <c r="AB1440" i="5"/>
  <c r="S1440" i="5"/>
  <c r="F1443" i="5"/>
  <c r="R1443" i="5"/>
  <c r="J1443" i="5"/>
  <c r="X1443" i="5"/>
  <c r="AB1453" i="5"/>
  <c r="S1453" i="5"/>
  <c r="S1462" i="5"/>
  <c r="AB1462" i="5"/>
  <c r="X1463" i="5"/>
  <c r="S1474" i="5"/>
  <c r="AB1474" i="5"/>
  <c r="H1475" i="5"/>
  <c r="F1479" i="5"/>
  <c r="R1479" i="5"/>
  <c r="H1479" i="5"/>
  <c r="F1482" i="5"/>
  <c r="X1486" i="5"/>
  <c r="J1486" i="5"/>
  <c r="I1486" i="5"/>
  <c r="H1486" i="5"/>
  <c r="AB1488" i="5"/>
  <c r="S1488" i="5"/>
  <c r="R1497" i="5"/>
  <c r="J1497" i="5"/>
  <c r="H1497" i="5"/>
  <c r="I1497" i="5"/>
  <c r="F1499" i="5"/>
  <c r="R1499" i="5"/>
  <c r="I1499" i="5"/>
  <c r="H1499" i="5"/>
  <c r="X1514" i="5"/>
  <c r="J1514" i="5"/>
  <c r="I1514" i="5"/>
  <c r="R1514" i="5"/>
  <c r="H1514" i="5"/>
  <c r="F1519" i="5"/>
  <c r="R1519" i="5"/>
  <c r="H1519" i="5"/>
  <c r="X1519" i="5"/>
  <c r="F1543" i="5"/>
  <c r="X1543" i="5"/>
  <c r="R1543" i="5"/>
  <c r="J1543" i="5"/>
  <c r="I1543" i="5"/>
  <c r="S1341" i="5"/>
  <c r="X1349" i="5"/>
  <c r="I1349" i="5"/>
  <c r="AB1359" i="5"/>
  <c r="AB1364" i="5"/>
  <c r="X1365" i="5"/>
  <c r="I1365" i="5"/>
  <c r="AB1375" i="5"/>
  <c r="AB1380" i="5"/>
  <c r="AB1391" i="5"/>
  <c r="AB1396" i="5"/>
  <c r="X1397" i="5"/>
  <c r="I1397" i="5"/>
  <c r="I1402" i="5"/>
  <c r="J1402" i="5"/>
  <c r="H1402" i="5"/>
  <c r="X1402" i="5"/>
  <c r="AB1406" i="5"/>
  <c r="AB1408" i="5"/>
  <c r="S1408" i="5"/>
  <c r="AB1422" i="5"/>
  <c r="AB1430" i="5"/>
  <c r="AB1438" i="5"/>
  <c r="S1442" i="5"/>
  <c r="AB1442" i="5"/>
  <c r="F1447" i="5"/>
  <c r="R1447" i="5"/>
  <c r="H1447" i="5"/>
  <c r="I1463" i="5"/>
  <c r="AB1469" i="5"/>
  <c r="S1469" i="5"/>
  <c r="I1475" i="5"/>
  <c r="S1478" i="5"/>
  <c r="AB1478" i="5"/>
  <c r="S1490" i="5"/>
  <c r="I1512" i="5"/>
  <c r="H1512" i="5"/>
  <c r="F1512" i="5"/>
  <c r="X1512" i="5"/>
  <c r="R1512" i="5"/>
  <c r="J1512" i="5"/>
  <c r="AB1516" i="5"/>
  <c r="R1525" i="5"/>
  <c r="J1525" i="5"/>
  <c r="H1525" i="5"/>
  <c r="X1525" i="5"/>
  <c r="X1534" i="5"/>
  <c r="J1534" i="5"/>
  <c r="I1534" i="5"/>
  <c r="H1534" i="5"/>
  <c r="AB1536" i="5"/>
  <c r="S1553" i="5"/>
  <c r="AB1706" i="5"/>
  <c r="S1706" i="5"/>
  <c r="R1830" i="5"/>
  <c r="I1830" i="5"/>
  <c r="J1830" i="5"/>
  <c r="H1830" i="5"/>
  <c r="F1830" i="5"/>
  <c r="X1830" i="5"/>
  <c r="S1349" i="5"/>
  <c r="S1365" i="5"/>
  <c r="S1381" i="5"/>
  <c r="S1397" i="5"/>
  <c r="AB1404" i="5"/>
  <c r="S1404" i="5"/>
  <c r="S1446" i="5"/>
  <c r="AB1446" i="5"/>
  <c r="AB1457" i="5"/>
  <c r="S1457" i="5"/>
  <c r="J1463" i="5"/>
  <c r="X1482" i="5"/>
  <c r="J1482" i="5"/>
  <c r="I1482" i="5"/>
  <c r="R1482" i="5"/>
  <c r="H1482" i="5"/>
  <c r="F1487" i="5"/>
  <c r="R1487" i="5"/>
  <c r="H1487" i="5"/>
  <c r="X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X1452" i="5"/>
  <c r="J1454" i="5"/>
  <c r="I1454" i="5"/>
  <c r="AB1480" i="5"/>
  <c r="S1482" i="5"/>
  <c r="AB1482" i="5"/>
  <c r="X1490" i="5"/>
  <c r="J1490" i="5"/>
  <c r="I1490" i="5"/>
  <c r="I1504" i="5"/>
  <c r="H1504" i="5"/>
  <c r="F1504" i="5"/>
  <c r="X1504" i="5"/>
  <c r="F1507" i="5"/>
  <c r="R1507" i="5"/>
  <c r="AB1508" i="5"/>
  <c r="S1514" i="5"/>
  <c r="AB1514" i="5"/>
  <c r="X1522" i="5"/>
  <c r="J1522" i="5"/>
  <c r="I1522" i="5"/>
  <c r="AB1626" i="5"/>
  <c r="S1626" i="5"/>
  <c r="AB1698" i="5"/>
  <c r="S1698" i="5"/>
  <c r="AB2470" i="5"/>
  <c r="S2470" i="5"/>
  <c r="J1406" i="5"/>
  <c r="J1414" i="5"/>
  <c r="J1422" i="5"/>
  <c r="X1423" i="5"/>
  <c r="AB1423" i="5"/>
  <c r="J1430" i="5"/>
  <c r="X1431" i="5"/>
  <c r="AB1431" i="5"/>
  <c r="X1439" i="5"/>
  <c r="AB1439" i="5"/>
  <c r="AB1444" i="5"/>
  <c r="AB1445" i="5"/>
  <c r="H1448" i="5"/>
  <c r="F1448" i="5"/>
  <c r="X1448" i="5"/>
  <c r="J1450" i="5"/>
  <c r="I1450" i="5"/>
  <c r="F1467" i="5"/>
  <c r="R1467" i="5"/>
  <c r="AB1476" i="5"/>
  <c r="AB1477" i="5"/>
  <c r="H1480" i="5"/>
  <c r="F1480" i="5"/>
  <c r="X1480" i="5"/>
  <c r="AB1485" i="5"/>
  <c r="S1486" i="5"/>
  <c r="AB1486" i="5"/>
  <c r="X1507" i="5"/>
  <c r="F1511" i="5"/>
  <c r="R1511" i="5"/>
  <c r="AB1512" i="5"/>
  <c r="AB1517" i="5"/>
  <c r="S1518" i="5"/>
  <c r="AB1518" i="5"/>
  <c r="X1538" i="5"/>
  <c r="R1538" i="5"/>
  <c r="J1538" i="5"/>
  <c r="I1538" i="5"/>
  <c r="AB1541" i="5"/>
  <c r="AB1544" i="5"/>
  <c r="AB1556" i="5"/>
  <c r="AB1560" i="5"/>
  <c r="AB1564" i="5"/>
  <c r="AB1568" i="5"/>
  <c r="AB1572" i="5"/>
  <c r="AB1576" i="5"/>
  <c r="AB1580" i="5"/>
  <c r="AB1584" i="5"/>
  <c r="AB1588" i="5"/>
  <c r="AB1592" i="5"/>
  <c r="AB1596" i="5"/>
  <c r="AB1600" i="5"/>
  <c r="AB1604" i="5"/>
  <c r="AB1608" i="5"/>
  <c r="AB1612" i="5"/>
  <c r="AB1616" i="5"/>
  <c r="X1640" i="5"/>
  <c r="R1640" i="5"/>
  <c r="J1640" i="5"/>
  <c r="I1640" i="5"/>
  <c r="H1640" i="5"/>
  <c r="F1640" i="5"/>
  <c r="X1648" i="5"/>
  <c r="R1648" i="5"/>
  <c r="J1648" i="5"/>
  <c r="I1648" i="5"/>
  <c r="H1648" i="5"/>
  <c r="F1648" i="5"/>
  <c r="AB1666" i="5"/>
  <c r="S1666" i="5"/>
  <c r="AB1674"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X1468" i="5"/>
  <c r="J1470" i="5"/>
  <c r="I1470" i="5"/>
  <c r="I1488" i="5"/>
  <c r="H1488" i="5"/>
  <c r="F1488" i="5"/>
  <c r="X1488" i="5"/>
  <c r="F1490" i="5"/>
  <c r="F1491" i="5"/>
  <c r="R1491" i="5"/>
  <c r="AB1492" i="5"/>
  <c r="S1498" i="5"/>
  <c r="AB1498" i="5"/>
  <c r="X1506" i="5"/>
  <c r="J1506" i="5"/>
  <c r="I1506" i="5"/>
  <c r="J1507" i="5"/>
  <c r="I1520" i="5"/>
  <c r="H1520" i="5"/>
  <c r="F1520" i="5"/>
  <c r="X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X1766" i="5"/>
  <c r="R1766" i="5"/>
  <c r="I1766" i="5"/>
  <c r="J1766" i="5"/>
  <c r="H1766" i="5"/>
  <c r="AB1403" i="5"/>
  <c r="X1406" i="5"/>
  <c r="X1411" i="5"/>
  <c r="AB1411" i="5"/>
  <c r="X1414" i="5"/>
  <c r="X1419" i="5"/>
  <c r="AB1419" i="5"/>
  <c r="X1422" i="5"/>
  <c r="J1423" i="5"/>
  <c r="X1427" i="5"/>
  <c r="AB1427" i="5"/>
  <c r="X1430" i="5"/>
  <c r="J1431" i="5"/>
  <c r="X1435" i="5"/>
  <c r="AB1435" i="5"/>
  <c r="J1439" i="5"/>
  <c r="R1448" i="5"/>
  <c r="R1449" i="5"/>
  <c r="F1451" i="5"/>
  <c r="R1451" i="5"/>
  <c r="H1454" i="5"/>
  <c r="X1455" i="5"/>
  <c r="AB1460" i="5"/>
  <c r="AB1461" i="5"/>
  <c r="J1466" i="5"/>
  <c r="I1466" i="5"/>
  <c r="I1467" i="5"/>
  <c r="R1480" i="5"/>
  <c r="X1491" i="5"/>
  <c r="I1492" i="5"/>
  <c r="H1492" i="5"/>
  <c r="F1492" i="5"/>
  <c r="X1492" i="5"/>
  <c r="F1495" i="5"/>
  <c r="R1495" i="5"/>
  <c r="AB1496" i="5"/>
  <c r="AB1501" i="5"/>
  <c r="S1502" i="5"/>
  <c r="AB1502" i="5"/>
  <c r="S1508" i="5"/>
  <c r="J1511" i="5"/>
  <c r="X1523" i="5"/>
  <c r="I1524" i="5"/>
  <c r="H1524" i="5"/>
  <c r="F1524" i="5"/>
  <c r="X1524" i="5"/>
  <c r="F1527" i="5"/>
  <c r="R1527" i="5"/>
  <c r="AB1528" i="5"/>
  <c r="AB1533" i="5"/>
  <c r="S1534" i="5"/>
  <c r="AB1534" i="5"/>
  <c r="F1538" i="5"/>
  <c r="F1539" i="5"/>
  <c r="X1539" i="5"/>
  <c r="R1539" i="5"/>
  <c r="S1544" i="5"/>
  <c r="AB1619" i="5"/>
  <c r="AB1623" i="5"/>
  <c r="AB1638" i="5"/>
  <c r="S1638" i="5"/>
  <c r="AB1655" i="5"/>
  <c r="AB1670" i="5"/>
  <c r="S1670" i="5"/>
  <c r="X1676" i="5"/>
  <c r="R1676" i="5"/>
  <c r="J1676" i="5"/>
  <c r="I1676" i="5"/>
  <c r="H1676" i="5"/>
  <c r="AB1687" i="5"/>
  <c r="AB1702" i="5"/>
  <c r="S1702" i="5"/>
  <c r="AB1719" i="5"/>
  <c r="R1741" i="5"/>
  <c r="J1741" i="5"/>
  <c r="I1741" i="5"/>
  <c r="H1741" i="5"/>
  <c r="F1741" i="5"/>
  <c r="J1768" i="5"/>
  <c r="I1768" i="5"/>
  <c r="H1768" i="5"/>
  <c r="X1768" i="5"/>
  <c r="F1768" i="5"/>
  <c r="R1773" i="5"/>
  <c r="J1773" i="5"/>
  <c r="I1773" i="5"/>
  <c r="H1773" i="5"/>
  <c r="F1773" i="5"/>
  <c r="X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X1656" i="5"/>
  <c r="R1656" i="5"/>
  <c r="J1656" i="5"/>
  <c r="I1656" i="5"/>
  <c r="H1656" i="5"/>
  <c r="AB1682" i="5"/>
  <c r="S1682" i="5"/>
  <c r="F1704" i="5"/>
  <c r="AB1714" i="5"/>
  <c r="S1714" i="5"/>
  <c r="X1720" i="5"/>
  <c r="R1720" i="5"/>
  <c r="J1720" i="5"/>
  <c r="I1720" i="5"/>
  <c r="H1720" i="5"/>
  <c r="R1749" i="5"/>
  <c r="I1749" i="5"/>
  <c r="X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X1692" i="5"/>
  <c r="R1692" i="5"/>
  <c r="J1692" i="5"/>
  <c r="I1692" i="5"/>
  <c r="H1692" i="5"/>
  <c r="AB1718" i="5"/>
  <c r="S1718" i="5"/>
  <c r="F1749" i="5"/>
  <c r="X1808" i="5"/>
  <c r="R1808" i="5"/>
  <c r="J1808" i="5"/>
  <c r="I1808" i="5"/>
  <c r="H1808" i="5"/>
  <c r="F1808" i="5"/>
  <c r="AB1858" i="5"/>
  <c r="AB1546" i="5"/>
  <c r="I1551" i="5"/>
  <c r="H1551" i="5"/>
  <c r="F1551" i="5"/>
  <c r="AB1552" i="5"/>
  <c r="S1619" i="5"/>
  <c r="S1623" i="5"/>
  <c r="X1632" i="5"/>
  <c r="R1632" i="5"/>
  <c r="J1632" i="5"/>
  <c r="I1632" i="5"/>
  <c r="H1632" i="5"/>
  <c r="AB1643" i="5"/>
  <c r="AB1658" i="5"/>
  <c r="S1658" i="5"/>
  <c r="X1664" i="5"/>
  <c r="AB1675" i="5"/>
  <c r="AB1690" i="5"/>
  <c r="S1690" i="5"/>
  <c r="AB1707" i="5"/>
  <c r="AB1722" i="5"/>
  <c r="S1722" i="5"/>
  <c r="X1728" i="5"/>
  <c r="R1728" i="5"/>
  <c r="J1728" i="5"/>
  <c r="I1728" i="5"/>
  <c r="H1728" i="5"/>
  <c r="X1741" i="5"/>
  <c r="S1744" i="5"/>
  <c r="AB1744" i="5"/>
  <c r="H1749" i="5"/>
  <c r="AB1910" i="5"/>
  <c r="S1910" i="5"/>
  <c r="AB1547" i="5"/>
  <c r="X1553" i="5"/>
  <c r="J1553" i="5"/>
  <c r="X1557" i="5"/>
  <c r="R1557" i="5"/>
  <c r="J1557" i="5"/>
  <c r="X1561" i="5"/>
  <c r="R1561" i="5"/>
  <c r="J1561" i="5"/>
  <c r="X1565" i="5"/>
  <c r="R1565" i="5"/>
  <c r="J1565" i="5"/>
  <c r="X1569" i="5"/>
  <c r="R1569" i="5"/>
  <c r="J1569" i="5"/>
  <c r="X1573" i="5"/>
  <c r="R1573" i="5"/>
  <c r="J1573" i="5"/>
  <c r="R1577" i="5"/>
  <c r="X1581" i="5"/>
  <c r="R1581" i="5"/>
  <c r="J1581" i="5"/>
  <c r="X1585" i="5"/>
  <c r="R1585" i="5"/>
  <c r="J1585" i="5"/>
  <c r="X1589" i="5"/>
  <c r="R1589" i="5"/>
  <c r="J1589" i="5"/>
  <c r="X1597" i="5"/>
  <c r="R1597" i="5"/>
  <c r="J1597" i="5"/>
  <c r="X1601" i="5"/>
  <c r="R1601" i="5"/>
  <c r="J1601" i="5"/>
  <c r="X1605" i="5"/>
  <c r="R1605" i="5"/>
  <c r="J1605" i="5"/>
  <c r="X1613" i="5"/>
  <c r="R1613" i="5"/>
  <c r="J1613" i="5"/>
  <c r="X1617" i="5"/>
  <c r="R1617" i="5"/>
  <c r="J1617" i="5"/>
  <c r="X1621" i="5"/>
  <c r="R1621" i="5"/>
  <c r="J1621" i="5"/>
  <c r="AB1627" i="5"/>
  <c r="AB1630" i="5"/>
  <c r="S1630" i="5"/>
  <c r="X1636" i="5"/>
  <c r="R1636" i="5"/>
  <c r="J1636" i="5"/>
  <c r="I1636" i="5"/>
  <c r="H1636" i="5"/>
  <c r="AB1647" i="5"/>
  <c r="AB1662" i="5"/>
  <c r="S1662" i="5"/>
  <c r="AB1679" i="5"/>
  <c r="AB1694" i="5"/>
  <c r="S1694" i="5"/>
  <c r="AB1726" i="5"/>
  <c r="S1726" i="5"/>
  <c r="R1757" i="5"/>
  <c r="J1757" i="5"/>
  <c r="I1757" i="5"/>
  <c r="H1757" i="5"/>
  <c r="F1757" i="5"/>
  <c r="X1757" i="5"/>
  <c r="R1769" i="5"/>
  <c r="J1769" i="5"/>
  <c r="I1769" i="5"/>
  <c r="H1769" i="5"/>
  <c r="F1769" i="5"/>
  <c r="X1769" i="5"/>
  <c r="R1891" i="5"/>
  <c r="H1891" i="5"/>
  <c r="J1891" i="5"/>
  <c r="I1891" i="5"/>
  <c r="F1891" i="5"/>
  <c r="X1891" i="5"/>
  <c r="X1704"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X1752" i="5"/>
  <c r="AB1764" i="5"/>
  <c r="X1765" i="5"/>
  <c r="F1778" i="5"/>
  <c r="X1778" i="5"/>
  <c r="R1778" i="5"/>
  <c r="J1778" i="5"/>
  <c r="I1778" i="5"/>
  <c r="F1782" i="5"/>
  <c r="X1782" i="5"/>
  <c r="R1782" i="5"/>
  <c r="J1782" i="5"/>
  <c r="I1782" i="5"/>
  <c r="F1790" i="5"/>
  <c r="X1790" i="5"/>
  <c r="R1790" i="5"/>
  <c r="J1790" i="5"/>
  <c r="I1790" i="5"/>
  <c r="F1794" i="5"/>
  <c r="X1794" i="5"/>
  <c r="R1794" i="5"/>
  <c r="J1794" i="5"/>
  <c r="I1794" i="5"/>
  <c r="F1798" i="5"/>
  <c r="X1798" i="5"/>
  <c r="R1798" i="5"/>
  <c r="J1798" i="5"/>
  <c r="I1798" i="5"/>
  <c r="F1802" i="5"/>
  <c r="X1802" i="5"/>
  <c r="R1802" i="5"/>
  <c r="J1802" i="5"/>
  <c r="I1802" i="5"/>
  <c r="F1806" i="5"/>
  <c r="X1806" i="5"/>
  <c r="R1806" i="5"/>
  <c r="J1806" i="5"/>
  <c r="I1806" i="5"/>
  <c r="AB1846" i="5"/>
  <c r="AB1850" i="5"/>
  <c r="AB1862" i="5"/>
  <c r="R1875" i="5"/>
  <c r="H1875" i="5"/>
  <c r="J1875" i="5"/>
  <c r="I1875" i="5"/>
  <c r="F1875" i="5"/>
  <c r="X1875" i="5"/>
  <c r="AB1931" i="5"/>
  <c r="AB2041" i="5"/>
  <c r="S2041" i="5"/>
  <c r="X2113"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X1748" i="5"/>
  <c r="AB1752" i="5"/>
  <c r="AB1756" i="5"/>
  <c r="F1758" i="5"/>
  <c r="X1758" i="5"/>
  <c r="R1758" i="5"/>
  <c r="I1758" i="5"/>
  <c r="AB1759" i="5"/>
  <c r="F1765" i="5"/>
  <c r="J1774" i="5"/>
  <c r="R1813" i="5"/>
  <c r="J1813" i="5"/>
  <c r="I1813" i="5"/>
  <c r="H1813" i="5"/>
  <c r="AB1815" i="5"/>
  <c r="AB1818" i="5"/>
  <c r="X1827" i="5"/>
  <c r="R1827" i="5"/>
  <c r="J1827" i="5"/>
  <c r="I1827" i="5"/>
  <c r="H1827" i="5"/>
  <c r="X1828" i="5"/>
  <c r="J1828" i="5"/>
  <c r="I1828" i="5"/>
  <c r="H1828" i="5"/>
  <c r="F1828" i="5"/>
  <c r="X1871" i="5"/>
  <c r="R1871" i="5"/>
  <c r="J1871" i="5"/>
  <c r="I1871" i="5"/>
  <c r="H1871" i="5"/>
  <c r="F1871" i="5"/>
  <c r="R1899" i="5"/>
  <c r="H1899" i="5"/>
  <c r="J1899" i="5"/>
  <c r="I1899" i="5"/>
  <c r="F1899" i="5"/>
  <c r="X1899" i="5"/>
  <c r="AB1902" i="5"/>
  <c r="S1902" i="5"/>
  <c r="S1953" i="5"/>
  <c r="AB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X1777" i="5"/>
  <c r="H1778" i="5"/>
  <c r="X1781" i="5"/>
  <c r="H1782" i="5"/>
  <c r="X1785" i="5"/>
  <c r="X1789" i="5"/>
  <c r="H1790" i="5"/>
  <c r="X1793" i="5"/>
  <c r="H1794" i="5"/>
  <c r="X1797" i="5"/>
  <c r="H1798" i="5"/>
  <c r="H1802" i="5"/>
  <c r="X1805" i="5"/>
  <c r="H1806" i="5"/>
  <c r="F1827" i="5"/>
  <c r="R1828" i="5"/>
  <c r="AB1830" i="5"/>
  <c r="AB1886" i="5"/>
  <c r="S1886" i="5"/>
  <c r="S1738" i="5"/>
  <c r="S1746" i="5"/>
  <c r="F1752" i="5"/>
  <c r="H1758" i="5"/>
  <c r="AB1763" i="5"/>
  <c r="AB1768" i="5"/>
  <c r="S1820" i="5"/>
  <c r="X1823" i="5"/>
  <c r="R1823" i="5"/>
  <c r="J1823" i="5"/>
  <c r="I1823" i="5"/>
  <c r="H1823" i="5"/>
  <c r="F1823" i="5"/>
  <c r="R1883" i="5"/>
  <c r="H1883" i="5"/>
  <c r="J1883" i="5"/>
  <c r="I1883" i="5"/>
  <c r="F1883" i="5"/>
  <c r="X1883" i="5"/>
  <c r="AB2002" i="5"/>
  <c r="AB1749" i="5"/>
  <c r="F1762" i="5"/>
  <c r="X1762" i="5"/>
  <c r="R1762" i="5"/>
  <c r="I1762" i="5"/>
  <c r="R1765" i="5"/>
  <c r="J1765" i="5"/>
  <c r="I1765" i="5"/>
  <c r="AB1776" i="5"/>
  <c r="AB1780" i="5"/>
  <c r="AB1784" i="5"/>
  <c r="AB1788" i="5"/>
  <c r="AB1792" i="5"/>
  <c r="AB1796" i="5"/>
  <c r="AB1800" i="5"/>
  <c r="AB1804" i="5"/>
  <c r="AB1808" i="5"/>
  <c r="R1818" i="5"/>
  <c r="I1818" i="5"/>
  <c r="J1818" i="5"/>
  <c r="H1818" i="5"/>
  <c r="F1818" i="5"/>
  <c r="X1818" i="5"/>
  <c r="S1844" i="5"/>
  <c r="AB1844" i="5"/>
  <c r="S1848" i="5"/>
  <c r="AB1848" i="5"/>
  <c r="S1852" i="5"/>
  <c r="AB1852" i="5"/>
  <c r="R1911" i="5"/>
  <c r="J1911" i="5"/>
  <c r="H1911" i="5"/>
  <c r="I1911" i="5"/>
  <c r="F1911" i="5"/>
  <c r="X1911" i="5"/>
  <c r="R1943" i="5"/>
  <c r="J1943" i="5"/>
  <c r="I1943" i="5"/>
  <c r="H1943" i="5"/>
  <c r="F1943" i="5"/>
  <c r="X1943" i="5"/>
  <c r="S1734" i="5"/>
  <c r="S1736" i="5"/>
  <c r="AB1755" i="5"/>
  <c r="AB1760" i="5"/>
  <c r="J1764" i="5"/>
  <c r="I1764" i="5"/>
  <c r="H1764" i="5"/>
  <c r="X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X1815" i="5"/>
  <c r="R1815" i="5"/>
  <c r="J1815" i="5"/>
  <c r="I1815" i="5"/>
  <c r="H1815" i="5"/>
  <c r="X1820" i="5"/>
  <c r="R1820" i="5"/>
  <c r="J1820" i="5"/>
  <c r="I1820" i="5"/>
  <c r="H1820" i="5"/>
  <c r="F1820" i="5"/>
  <c r="AB1839" i="5"/>
  <c r="AB1845" i="5"/>
  <c r="S1845" i="5"/>
  <c r="AB1849" i="5"/>
  <c r="S1849" i="5"/>
  <c r="AB1894" i="5"/>
  <c r="S1894" i="5"/>
  <c r="S1812" i="5"/>
  <c r="S1816" i="5"/>
  <c r="J1824" i="5"/>
  <c r="R1836" i="5"/>
  <c r="X1863" i="5"/>
  <c r="R1863" i="5"/>
  <c r="J1863" i="5"/>
  <c r="I1863" i="5"/>
  <c r="H1863" i="5"/>
  <c r="AB1865" i="5"/>
  <c r="S1865" i="5"/>
  <c r="R1907" i="5"/>
  <c r="H1907" i="5"/>
  <c r="J1907" i="5"/>
  <c r="I1907" i="5"/>
  <c r="F1907" i="5"/>
  <c r="X1907" i="5"/>
  <c r="R1923" i="5"/>
  <c r="J1923" i="5"/>
  <c r="H1923" i="5"/>
  <c r="I1923" i="5"/>
  <c r="F1923" i="5"/>
  <c r="X1923" i="5"/>
  <c r="AB1957" i="5"/>
  <c r="S1957" i="5"/>
  <c r="X200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X2104" i="5"/>
  <c r="F2138" i="5"/>
  <c r="X2138" i="5"/>
  <c r="R2138" i="5"/>
  <c r="J2138" i="5"/>
  <c r="I2138" i="5"/>
  <c r="H2138" i="5"/>
  <c r="S1809" i="5"/>
  <c r="AB1816" i="5"/>
  <c r="S1817" i="5"/>
  <c r="AB1821" i="5"/>
  <c r="S1824" i="5"/>
  <c r="S1836" i="5"/>
  <c r="AB1836" i="5"/>
  <c r="AB1841" i="5"/>
  <c r="X1944" i="5"/>
  <c r="R1944" i="5"/>
  <c r="J1944" i="5"/>
  <c r="I1944" i="5"/>
  <c r="H1944" i="5"/>
  <c r="F1944" i="5"/>
  <c r="X1995" i="5"/>
  <c r="R1995" i="5"/>
  <c r="J1995" i="5"/>
  <c r="I1995" i="5"/>
  <c r="H1995" i="5"/>
  <c r="F1995" i="5"/>
  <c r="AB2021" i="5"/>
  <c r="S2021" i="5"/>
  <c r="R2084" i="5"/>
  <c r="J2084" i="5"/>
  <c r="I2084" i="5"/>
  <c r="H2084" i="5"/>
  <c r="F2084" i="5"/>
  <c r="X2084" i="5"/>
  <c r="F1816" i="5"/>
  <c r="AB1826" i="5"/>
  <c r="X1836" i="5"/>
  <c r="X1843" i="5"/>
  <c r="R1843" i="5"/>
  <c r="J1843" i="5"/>
  <c r="X1847" i="5"/>
  <c r="R1847" i="5"/>
  <c r="J1847" i="5"/>
  <c r="H1847" i="5"/>
  <c r="X1851" i="5"/>
  <c r="R1851" i="5"/>
  <c r="J1851" i="5"/>
  <c r="H1851" i="5"/>
  <c r="AB1854" i="5"/>
  <c r="S1856" i="5"/>
  <c r="AB1918" i="5"/>
  <c r="S1918" i="5"/>
  <c r="X1975" i="5"/>
  <c r="R1975" i="5"/>
  <c r="J1975" i="5"/>
  <c r="I1975" i="5"/>
  <c r="H1975" i="5"/>
  <c r="F1975" i="5"/>
  <c r="AB2034" i="5"/>
  <c r="AB2083" i="5"/>
  <c r="S2083" i="5"/>
  <c r="S1813" i="5"/>
  <c r="H1816" i="5"/>
  <c r="AB1824" i="5"/>
  <c r="F1836" i="5"/>
  <c r="R1838" i="5"/>
  <c r="I1838" i="5"/>
  <c r="H1838" i="5"/>
  <c r="AB1853" i="5"/>
  <c r="S1853" i="5"/>
  <c r="AB1870" i="5"/>
  <c r="R1879" i="5"/>
  <c r="H1879" i="5"/>
  <c r="F1879" i="5"/>
  <c r="X1879" i="5"/>
  <c r="J1879" i="5"/>
  <c r="R1887" i="5"/>
  <c r="H1887" i="5"/>
  <c r="F1887" i="5"/>
  <c r="X1887" i="5"/>
  <c r="J1887" i="5"/>
  <c r="R1895" i="5"/>
  <c r="H1895" i="5"/>
  <c r="F1895" i="5"/>
  <c r="X1895" i="5"/>
  <c r="J1895" i="5"/>
  <c r="AB1907" i="5"/>
  <c r="R1915" i="5"/>
  <c r="J1915" i="5"/>
  <c r="H1915" i="5"/>
  <c r="I1915" i="5"/>
  <c r="F1915" i="5"/>
  <c r="X1915" i="5"/>
  <c r="X1924" i="5"/>
  <c r="R1924" i="5"/>
  <c r="J1924" i="5"/>
  <c r="H1924" i="5"/>
  <c r="F1924" i="5"/>
  <c r="AB1930" i="5"/>
  <c r="S1930" i="5"/>
  <c r="AB1977" i="5"/>
  <c r="S1977" i="5"/>
  <c r="I2051" i="5"/>
  <c r="H2051" i="5"/>
  <c r="R2051" i="5"/>
  <c r="J2051" i="5"/>
  <c r="F2051" i="5"/>
  <c r="X2051" i="5"/>
  <c r="I2059" i="5"/>
  <c r="H2059" i="5"/>
  <c r="R2059" i="5"/>
  <c r="J2059" i="5"/>
  <c r="F2059" i="5"/>
  <c r="X2059" i="5"/>
  <c r="I2067" i="5"/>
  <c r="H2067" i="5"/>
  <c r="R2067" i="5"/>
  <c r="J2067" i="5"/>
  <c r="F2067" i="5"/>
  <c r="X2067" i="5"/>
  <c r="I1816" i="5"/>
  <c r="F1824" i="5"/>
  <c r="H1836" i="5"/>
  <c r="X1838" i="5"/>
  <c r="I1840" i="5"/>
  <c r="F1843" i="5"/>
  <c r="AB1866" i="5"/>
  <c r="R1903" i="5"/>
  <c r="H1903" i="5"/>
  <c r="F1903" i="5"/>
  <c r="X1903" i="5"/>
  <c r="J1903" i="5"/>
  <c r="AB1914" i="5"/>
  <c r="S1914" i="5"/>
  <c r="S1941" i="5"/>
  <c r="X1963" i="5"/>
  <c r="R1963" i="5"/>
  <c r="J1963" i="5"/>
  <c r="I1963" i="5"/>
  <c r="H1963" i="5"/>
  <c r="F1963" i="5"/>
  <c r="AB1989" i="5"/>
  <c r="S1989" i="5"/>
  <c r="X2039" i="5"/>
  <c r="R2039" i="5"/>
  <c r="J2039" i="5"/>
  <c r="I2039" i="5"/>
  <c r="H2039" i="5"/>
  <c r="F2039" i="5"/>
  <c r="X2097" i="5"/>
  <c r="R2097" i="5"/>
  <c r="J2097" i="5"/>
  <c r="H2097" i="5"/>
  <c r="F2097" i="5"/>
  <c r="F2166" i="5"/>
  <c r="X2166" i="5"/>
  <c r="R2166" i="5"/>
  <c r="J2166" i="5"/>
  <c r="I2166" i="5"/>
  <c r="H2166" i="5"/>
  <c r="S1876" i="5"/>
  <c r="I1878" i="5"/>
  <c r="F1878" i="5"/>
  <c r="X1878" i="5"/>
  <c r="S1884" i="5"/>
  <c r="I1886" i="5"/>
  <c r="F1886" i="5"/>
  <c r="X1886" i="5"/>
  <c r="S1892" i="5"/>
  <c r="I1894" i="5"/>
  <c r="F1894" i="5"/>
  <c r="X1894" i="5"/>
  <c r="S1900" i="5"/>
  <c r="I1902" i="5"/>
  <c r="F1902" i="5"/>
  <c r="X1902" i="5"/>
  <c r="X1908" i="5"/>
  <c r="J1908" i="5"/>
  <c r="X1912" i="5"/>
  <c r="J1912" i="5"/>
  <c r="X1916" i="5"/>
  <c r="J1916" i="5"/>
  <c r="X1920" i="5"/>
  <c r="J1920" i="5"/>
  <c r="S1933" i="5"/>
  <c r="R1935" i="5"/>
  <c r="J1935" i="5"/>
  <c r="I1935" i="5"/>
  <c r="H1935" i="5"/>
  <c r="AB1942" i="5"/>
  <c r="AB1965" i="5"/>
  <c r="S1965" i="5"/>
  <c r="AB1978" i="5"/>
  <c r="X1983" i="5"/>
  <c r="R1983" i="5"/>
  <c r="J1983" i="5"/>
  <c r="I1983" i="5"/>
  <c r="H1983" i="5"/>
  <c r="AB1997" i="5"/>
  <c r="S1997" i="5"/>
  <c r="AB2010" i="5"/>
  <c r="X2015" i="5"/>
  <c r="R2015" i="5"/>
  <c r="J2015" i="5"/>
  <c r="I2015" i="5"/>
  <c r="H2015" i="5"/>
  <c r="AB2029" i="5"/>
  <c r="S2029" i="5"/>
  <c r="AB2042" i="5"/>
  <c r="X2047" i="5"/>
  <c r="R2047" i="5"/>
  <c r="J2047" i="5"/>
  <c r="I2047" i="5"/>
  <c r="H2047" i="5"/>
  <c r="I2075" i="5"/>
  <c r="H2075" i="5"/>
  <c r="R2075" i="5"/>
  <c r="J2075" i="5"/>
  <c r="F2075" i="5"/>
  <c r="X1884" i="5"/>
  <c r="J1884" i="5"/>
  <c r="X1892" i="5"/>
  <c r="J1892" i="5"/>
  <c r="J1900" i="5"/>
  <c r="S1908" i="5"/>
  <c r="S1912" i="5"/>
  <c r="S1916" i="5"/>
  <c r="S1920" i="5"/>
  <c r="S1924" i="5"/>
  <c r="AB1924" i="5"/>
  <c r="S1945" i="5"/>
  <c r="X1948" i="5"/>
  <c r="R1948" i="5"/>
  <c r="J1948" i="5"/>
  <c r="X1971" i="5"/>
  <c r="R1971" i="5"/>
  <c r="J1971" i="5"/>
  <c r="I1971" i="5"/>
  <c r="H1971" i="5"/>
  <c r="AB1985" i="5"/>
  <c r="S1985" i="5"/>
  <c r="X2003" i="5"/>
  <c r="R2003" i="5"/>
  <c r="J2003" i="5"/>
  <c r="I2003" i="5"/>
  <c r="H2003" i="5"/>
  <c r="AB2017" i="5"/>
  <c r="S2017" i="5"/>
  <c r="J2035" i="5"/>
  <c r="S2049" i="5"/>
  <c r="AB2049" i="5"/>
  <c r="I2083" i="5"/>
  <c r="H2083" i="5"/>
  <c r="R2083" i="5"/>
  <c r="J2083" i="5"/>
  <c r="F2083" i="5"/>
  <c r="X2083" i="5"/>
  <c r="X2101" i="5"/>
  <c r="R2101" i="5"/>
  <c r="J2101" i="5"/>
  <c r="H2101" i="5"/>
  <c r="F2101" i="5"/>
  <c r="R2108" i="5"/>
  <c r="J2108" i="5"/>
  <c r="I2108" i="5"/>
  <c r="H2108" i="5"/>
  <c r="F2108" i="5"/>
  <c r="X2108" i="5"/>
  <c r="R2156" i="5"/>
  <c r="J2156" i="5"/>
  <c r="I2156" i="5"/>
  <c r="H2156" i="5"/>
  <c r="F2156" i="5"/>
  <c r="X2156" i="5"/>
  <c r="J2247" i="5"/>
  <c r="I2247" i="5"/>
  <c r="H2247" i="5"/>
  <c r="X2247" i="5"/>
  <c r="R2247" i="5"/>
  <c r="F2247" i="5"/>
  <c r="J2251" i="5"/>
  <c r="I2251" i="5"/>
  <c r="H2251" i="5"/>
  <c r="X2251" i="5"/>
  <c r="R2251" i="5"/>
  <c r="F2251" i="5"/>
  <c r="S1860" i="5"/>
  <c r="S1864" i="5"/>
  <c r="S1868" i="5"/>
  <c r="S1872" i="5"/>
  <c r="F1873" i="5"/>
  <c r="X1881" i="5"/>
  <c r="AB1881" i="5"/>
  <c r="X1889" i="5"/>
  <c r="AB1889" i="5"/>
  <c r="X1897" i="5"/>
  <c r="AB1897" i="5"/>
  <c r="X1905" i="5"/>
  <c r="AB1905" i="5"/>
  <c r="AB1908" i="5"/>
  <c r="AB1912" i="5"/>
  <c r="AB1916" i="5"/>
  <c r="AB1920" i="5"/>
  <c r="S1925" i="5"/>
  <c r="R1927" i="5"/>
  <c r="J1927" i="5"/>
  <c r="I1927" i="5"/>
  <c r="H1927" i="5"/>
  <c r="X1928" i="5"/>
  <c r="R1928" i="5"/>
  <c r="J1928" i="5"/>
  <c r="AB1945" i="5"/>
  <c r="X1959" i="5"/>
  <c r="AB1973" i="5"/>
  <c r="S1973" i="5"/>
  <c r="X1991" i="5"/>
  <c r="R1991" i="5"/>
  <c r="J1991" i="5"/>
  <c r="I1991" i="5"/>
  <c r="H1991" i="5"/>
  <c r="AB2005" i="5"/>
  <c r="S2005" i="5"/>
  <c r="X2023" i="5"/>
  <c r="R2023" i="5"/>
  <c r="J2023" i="5"/>
  <c r="I2023" i="5"/>
  <c r="H2023" i="5"/>
  <c r="AB2037" i="5"/>
  <c r="S2037" i="5"/>
  <c r="I2079" i="5"/>
  <c r="H2079" i="5"/>
  <c r="R2079" i="5"/>
  <c r="J2079" i="5"/>
  <c r="F2079" i="5"/>
  <c r="X2079" i="5"/>
  <c r="X214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X1935" i="5"/>
  <c r="S1937" i="5"/>
  <c r="R1939" i="5"/>
  <c r="J1939" i="5"/>
  <c r="I1939" i="5"/>
  <c r="H1939" i="5"/>
  <c r="AB1946" i="5"/>
  <c r="AB1961" i="5"/>
  <c r="S1961" i="5"/>
  <c r="AB1974" i="5"/>
  <c r="X1979" i="5"/>
  <c r="R1979" i="5"/>
  <c r="J1979" i="5"/>
  <c r="I1979" i="5"/>
  <c r="H1979" i="5"/>
  <c r="AB1993" i="5"/>
  <c r="S1993" i="5"/>
  <c r="AB2006" i="5"/>
  <c r="X2011" i="5"/>
  <c r="R2011" i="5"/>
  <c r="AB2025" i="5"/>
  <c r="S2025" i="5"/>
  <c r="AB2038" i="5"/>
  <c r="X2089" i="5"/>
  <c r="R2089" i="5"/>
  <c r="I2089" i="5"/>
  <c r="H2089" i="5"/>
  <c r="F2089" i="5"/>
  <c r="R2096" i="5"/>
  <c r="J2096" i="5"/>
  <c r="I2096" i="5"/>
  <c r="H2096" i="5"/>
  <c r="F2096" i="5"/>
  <c r="X2096" i="5"/>
  <c r="X2105" i="5"/>
  <c r="R2105" i="5"/>
  <c r="J2105" i="5"/>
  <c r="H2105" i="5"/>
  <c r="F2105" i="5"/>
  <c r="R2112" i="5"/>
  <c r="J2112" i="5"/>
  <c r="I2112" i="5"/>
  <c r="H2112" i="5"/>
  <c r="F2112" i="5"/>
  <c r="X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X1999" i="5"/>
  <c r="R1999" i="5"/>
  <c r="J1999" i="5"/>
  <c r="I1999" i="5"/>
  <c r="H1999" i="5"/>
  <c r="AB2013" i="5"/>
  <c r="S2013" i="5"/>
  <c r="F2015" i="5"/>
  <c r="X2031"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X2224" i="5"/>
  <c r="I2224" i="5"/>
  <c r="H2224" i="5"/>
  <c r="X1874" i="5"/>
  <c r="AB1874" i="5"/>
  <c r="R1878" i="5"/>
  <c r="X1882" i="5"/>
  <c r="AB1882" i="5"/>
  <c r="H1884" i="5"/>
  <c r="X1885" i="5"/>
  <c r="R1886" i="5"/>
  <c r="X1890" i="5"/>
  <c r="AB1890" i="5"/>
  <c r="H1892" i="5"/>
  <c r="R1894" i="5"/>
  <c r="X1898" i="5"/>
  <c r="R1902" i="5"/>
  <c r="X1906" i="5"/>
  <c r="H1908" i="5"/>
  <c r="AB1909" i="5"/>
  <c r="H1912" i="5"/>
  <c r="AB1913" i="5"/>
  <c r="H1916" i="5"/>
  <c r="AB1917" i="5"/>
  <c r="H1920" i="5"/>
  <c r="AB1921" i="5"/>
  <c r="X1927" i="5"/>
  <c r="S1929" i="5"/>
  <c r="X1932" i="5"/>
  <c r="R1932" i="5"/>
  <c r="J1932" i="5"/>
  <c r="AB1938" i="5"/>
  <c r="S1942" i="5"/>
  <c r="F1948" i="5"/>
  <c r="AB1949" i="5"/>
  <c r="AB1951" i="5"/>
  <c r="AB1969" i="5"/>
  <c r="S1969" i="5"/>
  <c r="F1971" i="5"/>
  <c r="AB1982" i="5"/>
  <c r="X1987" i="5"/>
  <c r="R1987" i="5"/>
  <c r="J1987" i="5"/>
  <c r="I1987" i="5"/>
  <c r="H1987" i="5"/>
  <c r="AB2001" i="5"/>
  <c r="S2001" i="5"/>
  <c r="F2003" i="5"/>
  <c r="AB2014" i="5"/>
  <c r="X2019" i="5"/>
  <c r="R2019" i="5"/>
  <c r="J2019" i="5"/>
  <c r="I2019" i="5"/>
  <c r="H2019" i="5"/>
  <c r="AB2033" i="5"/>
  <c r="S2033" i="5"/>
  <c r="F2035" i="5"/>
  <c r="AB2046" i="5"/>
  <c r="S2054" i="5"/>
  <c r="X2056" i="5"/>
  <c r="S2062" i="5"/>
  <c r="X2064" i="5"/>
  <c r="R2072" i="5"/>
  <c r="J2072" i="5"/>
  <c r="I2072" i="5"/>
  <c r="H2072" i="5"/>
  <c r="AB2082" i="5"/>
  <c r="S2082" i="5"/>
  <c r="X2093" i="5"/>
  <c r="R2093" i="5"/>
  <c r="J2093" i="5"/>
  <c r="H2093" i="5"/>
  <c r="F2093" i="5"/>
  <c r="X2109"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X2121" i="5"/>
  <c r="R2152" i="5"/>
  <c r="J2152" i="5"/>
  <c r="I2152" i="5"/>
  <c r="H2152" i="5"/>
  <c r="F2152" i="5"/>
  <c r="X2152" i="5"/>
  <c r="AB2182" i="5"/>
  <c r="S2182" i="5"/>
  <c r="J2212" i="5"/>
  <c r="R2212" i="5"/>
  <c r="I2212" i="5"/>
  <c r="H2212" i="5"/>
  <c r="F2212" i="5"/>
  <c r="X2212" i="5"/>
  <c r="J2220" i="5"/>
  <c r="R2220" i="5"/>
  <c r="I2220" i="5"/>
  <c r="H2220" i="5"/>
  <c r="F2220" i="5"/>
  <c r="X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X2085" i="5"/>
  <c r="R2085" i="5"/>
  <c r="F2134" i="5"/>
  <c r="X2134" i="5"/>
  <c r="R2134" i="5"/>
  <c r="J2134" i="5"/>
  <c r="I2134" i="5"/>
  <c r="H2182" i="5"/>
  <c r="F2182" i="5"/>
  <c r="X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56" i="5"/>
  <c r="X1960" i="5"/>
  <c r="X1964" i="5"/>
  <c r="X1968" i="5"/>
  <c r="X1972" i="5"/>
  <c r="X1976" i="5"/>
  <c r="X1980" i="5"/>
  <c r="X1984" i="5"/>
  <c r="X1988" i="5"/>
  <c r="X1992" i="5"/>
  <c r="X1996" i="5"/>
  <c r="X2000" i="5"/>
  <c r="X2004" i="5"/>
  <c r="X2008" i="5"/>
  <c r="X2020" i="5"/>
  <c r="X2024" i="5"/>
  <c r="X2028" i="5"/>
  <c r="X2032" i="5"/>
  <c r="X2036" i="5"/>
  <c r="X2040" i="5"/>
  <c r="X2048" i="5"/>
  <c r="R2053" i="5"/>
  <c r="R2061" i="5"/>
  <c r="X2080" i="5"/>
  <c r="X2081" i="5"/>
  <c r="R2081" i="5"/>
  <c r="AB2086" i="5"/>
  <c r="S2170" i="5"/>
  <c r="AB2170" i="5"/>
  <c r="R2188" i="5"/>
  <c r="J2188" i="5"/>
  <c r="I2188" i="5"/>
  <c r="H2188" i="5"/>
  <c r="F2188" i="5"/>
  <c r="X2188" i="5"/>
  <c r="AB2191" i="5"/>
  <c r="S2191" i="5"/>
  <c r="AB2286" i="5"/>
  <c r="S2286" i="5"/>
  <c r="AB2050" i="5"/>
  <c r="S2053" i="5"/>
  <c r="AB2058" i="5"/>
  <c r="S2061" i="5"/>
  <c r="AB2066" i="5"/>
  <c r="S2069" i="5"/>
  <c r="AB2074" i="5"/>
  <c r="S2077" i="5"/>
  <c r="I2087" i="5"/>
  <c r="H2087" i="5"/>
  <c r="AB2147" i="5"/>
  <c r="S2147" i="5"/>
  <c r="F2170" i="5"/>
  <c r="X2170" i="5"/>
  <c r="R2170" i="5"/>
  <c r="J2170" i="5"/>
  <c r="I2170" i="5"/>
  <c r="H2170" i="5"/>
  <c r="S2174" i="5"/>
  <c r="AB2174" i="5"/>
  <c r="S2217" i="5"/>
  <c r="AB2217" i="5"/>
  <c r="R2268" i="5"/>
  <c r="J2268" i="5"/>
  <c r="H2268" i="5"/>
  <c r="F2268" i="5"/>
  <c r="X2268" i="5"/>
  <c r="I2268" i="5"/>
  <c r="AB2051" i="5"/>
  <c r="AB2059" i="5"/>
  <c r="AB2067" i="5"/>
  <c r="AB2075" i="5"/>
  <c r="X2153" i="5"/>
  <c r="R2153" i="5"/>
  <c r="J2153" i="5"/>
  <c r="I2153" i="5"/>
  <c r="H2153" i="5"/>
  <c r="F2153" i="5"/>
  <c r="I2193" i="5"/>
  <c r="R2193" i="5"/>
  <c r="J2193" i="5"/>
  <c r="H2193" i="5"/>
  <c r="F2193" i="5"/>
  <c r="X2193" i="5"/>
  <c r="J2117" i="5"/>
  <c r="F2125" i="5"/>
  <c r="S2126" i="5"/>
  <c r="AB2126" i="5"/>
  <c r="R2128" i="5"/>
  <c r="J2128" i="5"/>
  <c r="I2128" i="5"/>
  <c r="H2128" i="5"/>
  <c r="J2130" i="5"/>
  <c r="F2142" i="5"/>
  <c r="X2142" i="5"/>
  <c r="F2145" i="5"/>
  <c r="S2146" i="5"/>
  <c r="J2157" i="5"/>
  <c r="J2162" i="5"/>
  <c r="F2174" i="5"/>
  <c r="X2174" i="5"/>
  <c r="AB2178" i="5"/>
  <c r="S2178" i="5"/>
  <c r="I2201" i="5"/>
  <c r="R2201" i="5"/>
  <c r="J2201" i="5"/>
  <c r="H2201" i="5"/>
  <c r="F2201" i="5"/>
  <c r="AB2238" i="5"/>
  <c r="R2244" i="5"/>
  <c r="J2244" i="5"/>
  <c r="I2244" i="5"/>
  <c r="H2244" i="5"/>
  <c r="F2244" i="5"/>
  <c r="X2244" i="5"/>
  <c r="J2267" i="5"/>
  <c r="I2267" i="5"/>
  <c r="H2267" i="5"/>
  <c r="X2267" i="5"/>
  <c r="X2271" i="5"/>
  <c r="F2271" i="5"/>
  <c r="J2271" i="5"/>
  <c r="R2271" i="5"/>
  <c r="I2271" i="5"/>
  <c r="H2271" i="5"/>
  <c r="I2316" i="5"/>
  <c r="H2316" i="5"/>
  <c r="R2316" i="5"/>
  <c r="X2316" i="5"/>
  <c r="J2316" i="5"/>
  <c r="F2316" i="5"/>
  <c r="J2371" i="5"/>
  <c r="R2371" i="5"/>
  <c r="I2371" i="5"/>
  <c r="H2371" i="5"/>
  <c r="F2371" i="5"/>
  <c r="X2371" i="5"/>
  <c r="R2117" i="5"/>
  <c r="X2118" i="5"/>
  <c r="F2126" i="5"/>
  <c r="X2126" i="5"/>
  <c r="X2129" i="5"/>
  <c r="R2129" i="5"/>
  <c r="J2129" i="5"/>
  <c r="R2132" i="5"/>
  <c r="J2132" i="5"/>
  <c r="I2132" i="5"/>
  <c r="H2132" i="5"/>
  <c r="S2135" i="5"/>
  <c r="H2141" i="5"/>
  <c r="H2142" i="5"/>
  <c r="F2146" i="5"/>
  <c r="X2146" i="5"/>
  <c r="S2150" i="5"/>
  <c r="S2167" i="5"/>
  <c r="H2174" i="5"/>
  <c r="H2178" i="5"/>
  <c r="F2178" i="5"/>
  <c r="X2178" i="5"/>
  <c r="S2179" i="5"/>
  <c r="X2191" i="5"/>
  <c r="I2209" i="5"/>
  <c r="R2209" i="5"/>
  <c r="J2209" i="5"/>
  <c r="H2209" i="5"/>
  <c r="F2209" i="5"/>
  <c r="R2274" i="5"/>
  <c r="I2274" i="5"/>
  <c r="H2274" i="5"/>
  <c r="F2274" i="5"/>
  <c r="J2274" i="5"/>
  <c r="X2274" i="5"/>
  <c r="S2299" i="5"/>
  <c r="AB2299" i="5"/>
  <c r="S2081" i="5"/>
  <c r="S2085" i="5"/>
  <c r="S2089" i="5"/>
  <c r="S2093" i="5"/>
  <c r="S2097" i="5"/>
  <c r="S2101" i="5"/>
  <c r="S2105" i="5"/>
  <c r="S2109" i="5"/>
  <c r="S2113" i="5"/>
  <c r="S2117" i="5"/>
  <c r="S2122" i="5"/>
  <c r="AB2122" i="5"/>
  <c r="H2125" i="5"/>
  <c r="AB2132" i="5"/>
  <c r="S2139" i="5"/>
  <c r="I2142" i="5"/>
  <c r="H2145" i="5"/>
  <c r="H2146" i="5"/>
  <c r="F2150" i="5"/>
  <c r="X2150" i="5"/>
  <c r="S2154" i="5"/>
  <c r="AB2159" i="5"/>
  <c r="AB2164" i="5"/>
  <c r="J2165" i="5"/>
  <c r="S2171" i="5"/>
  <c r="I2174" i="5"/>
  <c r="I2178" i="5"/>
  <c r="AB2190" i="5"/>
  <c r="S2190" i="5"/>
  <c r="S2196" i="5"/>
  <c r="I2217" i="5"/>
  <c r="R2217" i="5"/>
  <c r="J2217" i="5"/>
  <c r="H2217" i="5"/>
  <c r="F2217" i="5"/>
  <c r="AB2227" i="5"/>
  <c r="S2227" i="5"/>
  <c r="R2228" i="5"/>
  <c r="J2228" i="5"/>
  <c r="I2228" i="5"/>
  <c r="H2228" i="5"/>
  <c r="F2228" i="5"/>
  <c r="X2228" i="5"/>
  <c r="R2248" i="5"/>
  <c r="J2248" i="5"/>
  <c r="I2248" i="5"/>
  <c r="H2248" i="5"/>
  <c r="F2248" i="5"/>
  <c r="X2248" i="5"/>
  <c r="R2267" i="5"/>
  <c r="X2311" i="5"/>
  <c r="R2311" i="5"/>
  <c r="J2311" i="5"/>
  <c r="I2311" i="5"/>
  <c r="H2311" i="5"/>
  <c r="F2311" i="5"/>
  <c r="J2358" i="5"/>
  <c r="H2358" i="5"/>
  <c r="R2358" i="5"/>
  <c r="I2358" i="5"/>
  <c r="X2358" i="5"/>
  <c r="F2358" i="5"/>
  <c r="H2118" i="5"/>
  <c r="AB2119" i="5"/>
  <c r="S2119" i="5"/>
  <c r="S2120" i="5"/>
  <c r="F2122" i="5"/>
  <c r="X2122" i="5"/>
  <c r="AB2123" i="5"/>
  <c r="AB2124" i="5"/>
  <c r="H2126" i="5"/>
  <c r="X2128" i="5"/>
  <c r="AB2131" i="5"/>
  <c r="AB2136" i="5"/>
  <c r="X2137" i="5"/>
  <c r="R2137" i="5"/>
  <c r="J2137" i="5"/>
  <c r="J2142" i="5"/>
  <c r="I2146" i="5"/>
  <c r="S2158" i="5"/>
  <c r="AB2163" i="5"/>
  <c r="AB2168" i="5"/>
  <c r="X2169" i="5"/>
  <c r="R2169" i="5"/>
  <c r="J2169" i="5"/>
  <c r="J2174" i="5"/>
  <c r="J2178" i="5"/>
  <c r="AB2183" i="5"/>
  <c r="H2190" i="5"/>
  <c r="F2190" i="5"/>
  <c r="X2190" i="5"/>
  <c r="S2193" i="5"/>
  <c r="AB2193" i="5"/>
  <c r="S2204" i="5"/>
  <c r="AB2220" i="5"/>
  <c r="AB2242" i="5"/>
  <c r="AB2281" i="5"/>
  <c r="S2312" i="5"/>
  <c r="AB2312" i="5"/>
  <c r="S2130" i="5"/>
  <c r="AB2135" i="5"/>
  <c r="AB2140" i="5"/>
  <c r="X2141" i="5"/>
  <c r="R2141" i="5"/>
  <c r="J2141" i="5"/>
  <c r="F2158" i="5"/>
  <c r="X2158" i="5"/>
  <c r="S2162" i="5"/>
  <c r="AB2167" i="5"/>
  <c r="AB2172" i="5"/>
  <c r="R2173" i="5"/>
  <c r="AB2186" i="5"/>
  <c r="S2186" i="5"/>
  <c r="J2191" i="5"/>
  <c r="I2191" i="5"/>
  <c r="H2191" i="5"/>
  <c r="F2191" i="5"/>
  <c r="H2195" i="5"/>
  <c r="X2195" i="5"/>
  <c r="R2195" i="5"/>
  <c r="J2195" i="5"/>
  <c r="I2195" i="5"/>
  <c r="J2196" i="5"/>
  <c r="R2196" i="5"/>
  <c r="I2196" i="5"/>
  <c r="H2196" i="5"/>
  <c r="F2196" i="5"/>
  <c r="X2196" i="5"/>
  <c r="S2201" i="5"/>
  <c r="AB2201" i="5"/>
  <c r="I2227" i="5"/>
  <c r="H2227" i="5"/>
  <c r="X2227" i="5"/>
  <c r="R2227" i="5"/>
  <c r="J2227" i="5"/>
  <c r="F2227" i="5"/>
  <c r="J2243" i="5"/>
  <c r="I2243" i="5"/>
  <c r="H2243" i="5"/>
  <c r="X2243" i="5"/>
  <c r="F2243" i="5"/>
  <c r="AB2255" i="5"/>
  <c r="S2255" i="5"/>
  <c r="AB2259" i="5"/>
  <c r="S2259" i="5"/>
  <c r="AB2266" i="5"/>
  <c r="AB2270" i="5"/>
  <c r="AB2304" i="5"/>
  <c r="AB2120" i="5"/>
  <c r="R2125" i="5"/>
  <c r="J2125" i="5"/>
  <c r="F2130" i="5"/>
  <c r="X2130" i="5"/>
  <c r="S2134" i="5"/>
  <c r="AB2139" i="5"/>
  <c r="AB2144" i="5"/>
  <c r="X2145" i="5"/>
  <c r="R2145" i="5"/>
  <c r="J2145" i="5"/>
  <c r="F2162" i="5"/>
  <c r="X2162" i="5"/>
  <c r="S2166" i="5"/>
  <c r="AB2171" i="5"/>
  <c r="AB2176" i="5"/>
  <c r="AB2179" i="5"/>
  <c r="H2186" i="5"/>
  <c r="F2186" i="5"/>
  <c r="X2186" i="5"/>
  <c r="H2203" i="5"/>
  <c r="X2203" i="5"/>
  <c r="R2203" i="5"/>
  <c r="J2203" i="5"/>
  <c r="I2203" i="5"/>
  <c r="J2204" i="5"/>
  <c r="R2204" i="5"/>
  <c r="I2204" i="5"/>
  <c r="H2204" i="5"/>
  <c r="F2204" i="5"/>
  <c r="X2204" i="5"/>
  <c r="S2209" i="5"/>
  <c r="AB2209" i="5"/>
  <c r="I2223" i="5"/>
  <c r="H2223" i="5"/>
  <c r="X2223" i="5"/>
  <c r="J2223" i="5"/>
  <c r="F2223" i="5"/>
  <c r="AB2234" i="5"/>
  <c r="J2239" i="5"/>
  <c r="I2239" i="5"/>
  <c r="H2239" i="5"/>
  <c r="X2239" i="5"/>
  <c r="R2240" i="5"/>
  <c r="J2240" i="5"/>
  <c r="I2240" i="5"/>
  <c r="F2240" i="5"/>
  <c r="X2240" i="5"/>
  <c r="AB2276" i="5"/>
  <c r="S2276" i="5"/>
  <c r="R2285" i="5"/>
  <c r="J2285" i="5"/>
  <c r="I2285" i="5"/>
  <c r="H2285" i="5"/>
  <c r="X2285" i="5"/>
  <c r="F2285" i="5"/>
  <c r="J2177" i="5"/>
  <c r="J2185" i="5"/>
  <c r="J2189" i="5"/>
  <c r="AB2199" i="5"/>
  <c r="X2199" i="5"/>
  <c r="AB2207" i="5"/>
  <c r="H2207" i="5"/>
  <c r="X2207" i="5"/>
  <c r="AB2215" i="5"/>
  <c r="AB2223" i="5"/>
  <c r="AB2228" i="5"/>
  <c r="AB2251" i="5"/>
  <c r="X2252" i="5"/>
  <c r="F2256" i="5"/>
  <c r="AB2262" i="5"/>
  <c r="AB2303" i="5"/>
  <c r="S2303" i="5"/>
  <c r="J2354" i="5"/>
  <c r="R2354" i="5"/>
  <c r="I2354" i="5"/>
  <c r="H2354" i="5"/>
  <c r="F2354" i="5"/>
  <c r="X2354" i="5"/>
  <c r="R2177" i="5"/>
  <c r="R2185" i="5"/>
  <c r="R2189" i="5"/>
  <c r="S2192" i="5"/>
  <c r="S2200" i="5"/>
  <c r="S2208" i="5"/>
  <c r="S2216" i="5"/>
  <c r="S2229" i="5"/>
  <c r="R2236" i="5"/>
  <c r="J2236" i="5"/>
  <c r="I2236" i="5"/>
  <c r="AB2247" i="5"/>
  <c r="F2252" i="5"/>
  <c r="F2255" i="5"/>
  <c r="AB2258" i="5"/>
  <c r="R2264" i="5"/>
  <c r="J2264" i="5"/>
  <c r="I2264" i="5"/>
  <c r="X2280" i="5"/>
  <c r="I2286" i="5"/>
  <c r="X2291" i="5"/>
  <c r="F2291" i="5"/>
  <c r="R2291" i="5"/>
  <c r="J2291" i="5"/>
  <c r="I2291" i="5"/>
  <c r="X2307" i="5"/>
  <c r="J2307" i="5"/>
  <c r="F2307" i="5"/>
  <c r="I2307" i="5"/>
  <c r="H2307" i="5"/>
  <c r="I2312" i="5"/>
  <c r="H2312" i="5"/>
  <c r="R2312" i="5"/>
  <c r="J2312" i="5"/>
  <c r="F2312" i="5"/>
  <c r="X2312" i="5"/>
  <c r="X2322" i="5"/>
  <c r="R2322" i="5"/>
  <c r="F2322" i="5"/>
  <c r="J2322" i="5"/>
  <c r="I2322" i="5"/>
  <c r="H2322" i="5"/>
  <c r="R2349" i="5"/>
  <c r="J2349" i="5"/>
  <c r="I2349" i="5"/>
  <c r="H2349" i="5"/>
  <c r="F2349" i="5"/>
  <c r="X2349" i="5"/>
  <c r="F2194" i="5"/>
  <c r="R2194" i="5"/>
  <c r="X2194" i="5"/>
  <c r="F2199" i="5"/>
  <c r="F2202" i="5"/>
  <c r="R2202" i="5"/>
  <c r="X2202" i="5"/>
  <c r="F2207" i="5"/>
  <c r="F2210" i="5"/>
  <c r="R2210" i="5"/>
  <c r="X2210" i="5"/>
  <c r="F2218" i="5"/>
  <c r="R2218" i="5"/>
  <c r="AB2224" i="5"/>
  <c r="X2225" i="5"/>
  <c r="I2225" i="5"/>
  <c r="AB2231" i="5"/>
  <c r="AB2243" i="5"/>
  <c r="AB2254" i="5"/>
  <c r="R2260" i="5"/>
  <c r="J2260" i="5"/>
  <c r="I2260" i="5"/>
  <c r="AB2269" i="5"/>
  <c r="AB2285" i="5"/>
  <c r="X2295" i="5"/>
  <c r="R2295" i="5"/>
  <c r="J2295" i="5"/>
  <c r="I2295" i="5"/>
  <c r="H2295" i="5"/>
  <c r="X2299" i="5"/>
  <c r="F2299" i="5"/>
  <c r="R2299" i="5"/>
  <c r="J2299" i="5"/>
  <c r="I2299" i="5"/>
  <c r="R2307" i="5"/>
  <c r="S2225" i="5"/>
  <c r="X2236" i="5"/>
  <c r="AB2239" i="5"/>
  <c r="AB2250" i="5"/>
  <c r="R2256" i="5"/>
  <c r="J2256" i="5"/>
  <c r="I2256" i="5"/>
  <c r="X2286" i="5"/>
  <c r="R2286" i="5"/>
  <c r="H2286" i="5"/>
  <c r="F2286" i="5"/>
  <c r="J2317" i="5"/>
  <c r="AB2344" i="5"/>
  <c r="S2344" i="5"/>
  <c r="F2368" i="5"/>
  <c r="R2368" i="5"/>
  <c r="J2368" i="5"/>
  <c r="I2368" i="5"/>
  <c r="H2368" i="5"/>
  <c r="X2368" i="5"/>
  <c r="AB2384" i="5"/>
  <c r="S2384" i="5"/>
  <c r="AB2195" i="5"/>
  <c r="AB2203" i="5"/>
  <c r="AB2211" i="5"/>
  <c r="AB2219" i="5"/>
  <c r="AB2230" i="5"/>
  <c r="S2233" i="5"/>
  <c r="AB2235" i="5"/>
  <c r="AB2246" i="5"/>
  <c r="R2252" i="5"/>
  <c r="J2252" i="5"/>
  <c r="I2252" i="5"/>
  <c r="J2255" i="5"/>
  <c r="I2255" i="5"/>
  <c r="H2255" i="5"/>
  <c r="X2255" i="5"/>
  <c r="AB2267" i="5"/>
  <c r="I2280" i="5"/>
  <c r="F2280" i="5"/>
  <c r="R2280" i="5"/>
  <c r="J2280" i="5"/>
  <c r="AB2311" i="5"/>
  <c r="S2311" i="5"/>
  <c r="R2341" i="5"/>
  <c r="J2341" i="5"/>
  <c r="I2341" i="5"/>
  <c r="F2341" i="5"/>
  <c r="H2341" i="5"/>
  <c r="X2341" i="5"/>
  <c r="J2348" i="5"/>
  <c r="I2348" i="5"/>
  <c r="H2348" i="5"/>
  <c r="X2348" i="5"/>
  <c r="R2348" i="5"/>
  <c r="F2348" i="5"/>
  <c r="AB2263" i="5"/>
  <c r="R2277" i="5"/>
  <c r="X2277" i="5"/>
  <c r="J2277" i="5"/>
  <c r="H2277" i="5"/>
  <c r="I2288" i="5"/>
  <c r="R2288" i="5"/>
  <c r="J2288" i="5"/>
  <c r="H2288" i="5"/>
  <c r="X2288" i="5"/>
  <c r="S2304" i="5"/>
  <c r="I2320" i="5"/>
  <c r="H2320" i="5"/>
  <c r="F2320" i="5"/>
  <c r="R2320" i="5"/>
  <c r="J2320" i="5"/>
  <c r="X2320" i="5"/>
  <c r="I2229" i="5"/>
  <c r="I2233" i="5"/>
  <c r="I2237" i="5"/>
  <c r="J2273" i="5"/>
  <c r="AB2278" i="5"/>
  <c r="H2282" i="5"/>
  <c r="F2303" i="5"/>
  <c r="R2305" i="5"/>
  <c r="I2305" i="5"/>
  <c r="AB2315" i="5"/>
  <c r="AB2320" i="5"/>
  <c r="S2320" i="5"/>
  <c r="AB2328" i="5"/>
  <c r="AB2332" i="5"/>
  <c r="J2340" i="5"/>
  <c r="I2340" i="5"/>
  <c r="H2340" i="5"/>
  <c r="X2340" i="5"/>
  <c r="I2308" i="5"/>
  <c r="F2308" i="5"/>
  <c r="R2313" i="5"/>
  <c r="I2313" i="5"/>
  <c r="AB2323" i="5"/>
  <c r="AB2366" i="5"/>
  <c r="S2366" i="5"/>
  <c r="S2271" i="5"/>
  <c r="S2273" i="5"/>
  <c r="S2284" i="5"/>
  <c r="X2306" i="5"/>
  <c r="R2306" i="5"/>
  <c r="I2306" i="5"/>
  <c r="X2313" i="5"/>
  <c r="S2319" i="5"/>
  <c r="AB2348" i="5"/>
  <c r="F2360" i="5"/>
  <c r="R2360" i="5"/>
  <c r="J2360" i="5"/>
  <c r="I2360" i="5"/>
  <c r="H2360" i="5"/>
  <c r="X2360" i="5"/>
  <c r="J2374" i="5"/>
  <c r="H2374" i="5"/>
  <c r="R2374" i="5"/>
  <c r="I2374" i="5"/>
  <c r="X2374" i="5"/>
  <c r="F2374" i="5"/>
  <c r="AB2411" i="5"/>
  <c r="S2411" i="5"/>
  <c r="AB2424" i="5"/>
  <c r="S2237" i="5"/>
  <c r="S2241" i="5"/>
  <c r="S2245" i="5"/>
  <c r="S2249" i="5"/>
  <c r="S2253" i="5"/>
  <c r="S2257" i="5"/>
  <c r="S2261" i="5"/>
  <c r="S2265" i="5"/>
  <c r="R2282" i="5"/>
  <c r="S2287" i="5"/>
  <c r="X2289" i="5"/>
  <c r="R2297" i="5"/>
  <c r="I2297" i="5"/>
  <c r="F2306" i="5"/>
  <c r="R2309" i="5"/>
  <c r="I2309" i="5"/>
  <c r="H2309" i="5"/>
  <c r="F2313" i="5"/>
  <c r="X2314" i="5"/>
  <c r="R2314" i="5"/>
  <c r="I2314" i="5"/>
  <c r="AB2331" i="5"/>
  <c r="R2337" i="5"/>
  <c r="J2337" i="5"/>
  <c r="I2337" i="5"/>
  <c r="X2337" i="5"/>
  <c r="S2388" i="5"/>
  <c r="S2268" i="5"/>
  <c r="S2275" i="5"/>
  <c r="S2282" i="5"/>
  <c r="X2297" i="5"/>
  <c r="X2302" i="5"/>
  <c r="R2302" i="5"/>
  <c r="H2302" i="5"/>
  <c r="X2308" i="5"/>
  <c r="H2313" i="5"/>
  <c r="F2314" i="5"/>
  <c r="AB2340" i="5"/>
  <c r="S2340" i="5"/>
  <c r="AB2343" i="5"/>
  <c r="AB2383" i="5"/>
  <c r="S2383" i="5"/>
  <c r="AB2271" i="5"/>
  <c r="F2273" i="5"/>
  <c r="AB2284" i="5"/>
  <c r="X2294" i="5"/>
  <c r="R2294" i="5"/>
  <c r="X2303" i="5"/>
  <c r="R2303" i="5"/>
  <c r="H2306" i="5"/>
  <c r="H2308" i="5"/>
  <c r="H2310" i="5"/>
  <c r="J2313" i="5"/>
  <c r="S2316" i="5"/>
  <c r="R2321" i="5"/>
  <c r="J2321" i="5"/>
  <c r="I2321" i="5"/>
  <c r="H2321" i="5"/>
  <c r="X2321" i="5"/>
  <c r="I2324" i="5"/>
  <c r="H2324" i="5"/>
  <c r="J2324" i="5"/>
  <c r="R2325" i="5"/>
  <c r="J2325" i="5"/>
  <c r="I2325" i="5"/>
  <c r="R2329" i="5"/>
  <c r="J2329" i="5"/>
  <c r="I2329" i="5"/>
  <c r="X2329" i="5"/>
  <c r="R2333" i="5"/>
  <c r="J2333" i="5"/>
  <c r="I2333" i="5"/>
  <c r="F2333" i="5"/>
  <c r="S2348" i="5"/>
  <c r="F2376" i="5"/>
  <c r="R2376" i="5"/>
  <c r="J2376" i="5"/>
  <c r="I2376" i="5"/>
  <c r="H2376" i="5"/>
  <c r="X2376" i="5"/>
  <c r="AB2336" i="5"/>
  <c r="AB2347" i="5"/>
  <c r="AB2353" i="5"/>
  <c r="S2359" i="5"/>
  <c r="AB2359" i="5"/>
  <c r="S2364" i="5"/>
  <c r="AB2364" i="5"/>
  <c r="S2375" i="5"/>
  <c r="AB2375" i="5"/>
  <c r="AB2382" i="5"/>
  <c r="S2382" i="5"/>
  <c r="F2437" i="5"/>
  <c r="J2437" i="5"/>
  <c r="I2437" i="5"/>
  <c r="H2437" i="5"/>
  <c r="X2437" i="5"/>
  <c r="R2437" i="5"/>
  <c r="AB2327" i="5"/>
  <c r="AB2335" i="5"/>
  <c r="R2345" i="5"/>
  <c r="J2345" i="5"/>
  <c r="I2345" i="5"/>
  <c r="AB2352" i="5"/>
  <c r="AB2358" i="5"/>
  <c r="S2358" i="5"/>
  <c r="J2366" i="5"/>
  <c r="H2366" i="5"/>
  <c r="R2366" i="5"/>
  <c r="I2366" i="5"/>
  <c r="X2366" i="5"/>
  <c r="AB2374" i="5"/>
  <c r="S2374" i="5"/>
  <c r="X2379" i="5"/>
  <c r="AB2394" i="5"/>
  <c r="S2394" i="5"/>
  <c r="R2400" i="5"/>
  <c r="J2400" i="5"/>
  <c r="I2400" i="5"/>
  <c r="H2400" i="5"/>
  <c r="F2400" i="5"/>
  <c r="X2400" i="5"/>
  <c r="AB2428" i="5"/>
  <c r="S2367" i="5"/>
  <c r="AB2367" i="5"/>
  <c r="S2372" i="5"/>
  <c r="AB2372" i="5"/>
  <c r="AB2356" i="5"/>
  <c r="J2379" i="5"/>
  <c r="R2379" i="5"/>
  <c r="I2379" i="5"/>
  <c r="H2379" i="5"/>
  <c r="F2379" i="5"/>
  <c r="AB2399" i="5"/>
  <c r="S2399" i="5"/>
  <c r="AB2361" i="5"/>
  <c r="AB2369" i="5"/>
  <c r="AB2377" i="5"/>
  <c r="J2388" i="5"/>
  <c r="I2388" i="5"/>
  <c r="X2388" i="5"/>
  <c r="AB2390" i="5"/>
  <c r="S2390" i="5"/>
  <c r="F2394" i="5"/>
  <c r="X2394" i="5"/>
  <c r="R2394" i="5"/>
  <c r="J2394" i="5"/>
  <c r="I2394" i="5"/>
  <c r="H2394" i="5"/>
  <c r="AB2416" i="5"/>
  <c r="D14" i="6"/>
  <c r="AB2404" i="5"/>
  <c r="R2420" i="5"/>
  <c r="J2420" i="5"/>
  <c r="I2420" i="5"/>
  <c r="H2420" i="5"/>
  <c r="F2420" i="5"/>
  <c r="X2420" i="5"/>
  <c r="R2445" i="5"/>
  <c r="J2445" i="5"/>
  <c r="I2445" i="5"/>
  <c r="H2445" i="5"/>
  <c r="F2445" i="5"/>
  <c r="X2445" i="5"/>
  <c r="J2460" i="5"/>
  <c r="I2460" i="5"/>
  <c r="R2460" i="5"/>
  <c r="H2460" i="5"/>
  <c r="F2460" i="5"/>
  <c r="X2460" i="5"/>
  <c r="AB2490" i="5"/>
  <c r="S2490" i="5"/>
  <c r="S2500" i="5"/>
  <c r="R2326" i="5"/>
  <c r="R2338" i="5"/>
  <c r="R2342" i="5"/>
  <c r="R2346" i="5"/>
  <c r="R2350" i="5"/>
  <c r="AB2362" i="5"/>
  <c r="AB2370" i="5"/>
  <c r="AB2378" i="5"/>
  <c r="I2395" i="5"/>
  <c r="H2395" i="5"/>
  <c r="J2395" i="5"/>
  <c r="F2395" i="5"/>
  <c r="X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X2401" i="5"/>
  <c r="R2401" i="5"/>
  <c r="J2401" i="5"/>
  <c r="I2401" i="5"/>
  <c r="H2401" i="5"/>
  <c r="F2401" i="5"/>
  <c r="R2408" i="5"/>
  <c r="J2408" i="5"/>
  <c r="I2408" i="5"/>
  <c r="H2408" i="5"/>
  <c r="F2408" i="5"/>
  <c r="X2408" i="5"/>
  <c r="F2412" i="5"/>
  <c r="X2413" i="5"/>
  <c r="R2413" i="5"/>
  <c r="J2413" i="5"/>
  <c r="I2413" i="5"/>
  <c r="F2413" i="5"/>
  <c r="AB2423" i="5"/>
  <c r="S2423" i="5"/>
  <c r="J2449" i="5"/>
  <c r="I2449" i="5"/>
  <c r="H2449" i="5"/>
  <c r="F2449" i="5"/>
  <c r="X2449" i="5"/>
  <c r="R2449" i="5"/>
  <c r="J2356" i="5"/>
  <c r="H2365" i="5"/>
  <c r="F2365" i="5"/>
  <c r="H2373" i="5"/>
  <c r="F2373" i="5"/>
  <c r="S2386" i="5"/>
  <c r="S2387" i="5"/>
  <c r="R2389" i="5"/>
  <c r="I2389" i="5"/>
  <c r="H2389" i="5"/>
  <c r="F2389" i="5"/>
  <c r="AB2392" i="5"/>
  <c r="S2398" i="5"/>
  <c r="X2421" i="5"/>
  <c r="R2421" i="5"/>
  <c r="J2421" i="5"/>
  <c r="I2421" i="5"/>
  <c r="H2421" i="5"/>
  <c r="F2421" i="5"/>
  <c r="AB2455" i="5"/>
  <c r="S2455" i="5"/>
  <c r="H2475" i="5"/>
  <c r="R2475" i="5"/>
  <c r="J2475" i="5"/>
  <c r="X2475" i="5"/>
  <c r="F2475" i="5"/>
  <c r="S2479" i="5"/>
  <c r="AB2479" i="5"/>
  <c r="S2402" i="5"/>
  <c r="AB2407" i="5"/>
  <c r="AB2408" i="5"/>
  <c r="AB2415" i="5"/>
  <c r="X2425" i="5"/>
  <c r="R2425" i="5"/>
  <c r="J2425" i="5"/>
  <c r="I2425" i="5"/>
  <c r="AB2444" i="5"/>
  <c r="S2444" i="5"/>
  <c r="AB2468" i="5"/>
  <c r="S2468" i="5"/>
  <c r="R2473" i="5"/>
  <c r="I2473" i="5"/>
  <c r="H2473" i="5"/>
  <c r="F2473" i="5"/>
  <c r="X2473" i="5"/>
  <c r="S2406" i="5"/>
  <c r="AB2420" i="5"/>
  <c r="AB2427" i="5"/>
  <c r="S2453" i="5"/>
  <c r="AB2453" i="5"/>
  <c r="J2456" i="5"/>
  <c r="I2456" i="5"/>
  <c r="X2456" i="5"/>
  <c r="R2456" i="5"/>
  <c r="H2456" i="5"/>
  <c r="J2476" i="5"/>
  <c r="I2476" i="5"/>
  <c r="R2476" i="5"/>
  <c r="H2476" i="5"/>
  <c r="F2476" i="5"/>
  <c r="X2476" i="5"/>
  <c r="AB2487" i="5"/>
  <c r="S2487" i="5"/>
  <c r="S2496" i="5"/>
  <c r="F2382" i="5"/>
  <c r="X2382" i="5"/>
  <c r="F2390" i="5"/>
  <c r="X2390" i="5"/>
  <c r="AB2432" i="5"/>
  <c r="F2456" i="5"/>
  <c r="H2482" i="5"/>
  <c r="I2482" i="5"/>
  <c r="F2482" i="5"/>
  <c r="X2482" i="5"/>
  <c r="R2482" i="5"/>
  <c r="J2482" i="5"/>
  <c r="AB2391" i="5"/>
  <c r="AB2412" i="5"/>
  <c r="X2412" i="5"/>
  <c r="AB2419" i="5"/>
  <c r="X2429" i="5"/>
  <c r="R2429" i="5"/>
  <c r="J2429" i="5"/>
  <c r="I2429" i="5"/>
  <c r="S2437" i="5"/>
  <c r="AB2437" i="5"/>
  <c r="H2447" i="5"/>
  <c r="R2447" i="5"/>
  <c r="J2447" i="5"/>
  <c r="F2447" i="5"/>
  <c r="X2447" i="5"/>
  <c r="AB2485" i="5"/>
  <c r="S2485" i="5"/>
  <c r="AB2431" i="5"/>
  <c r="J2436" i="5"/>
  <c r="R2436" i="5"/>
  <c r="I2436" i="5"/>
  <c r="H2436" i="5"/>
  <c r="S2441" i="5"/>
  <c r="AB2441" i="5"/>
  <c r="J2502" i="5"/>
  <c r="I2502" i="5"/>
  <c r="H2502" i="5"/>
  <c r="R2502" i="5"/>
  <c r="F2502" i="5"/>
  <c r="J2464" i="5"/>
  <c r="I2464" i="5"/>
  <c r="X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c r="X2438" i="5"/>
  <c r="F2442" i="5"/>
  <c r="J2442" i="5"/>
  <c r="I2442" i="5"/>
  <c r="H2442" i="5"/>
  <c r="AB2460" i="5"/>
  <c r="F2497" i="5"/>
  <c r="R2497" i="5"/>
  <c r="J2497" i="5"/>
  <c r="I2497" i="5"/>
  <c r="H2497" i="5"/>
  <c r="S2501" i="5"/>
  <c r="F64" i="6"/>
  <c r="H64" i="6"/>
  <c r="G5" i="6"/>
  <c r="H5" i="6"/>
  <c r="H6" i="6"/>
  <c r="X2433" i="5"/>
  <c r="X2442" i="5"/>
  <c r="H2464" i="5"/>
  <c r="J2472" i="5"/>
  <c r="I2472" i="5"/>
  <c r="X2472" i="5"/>
  <c r="S2476" i="5"/>
  <c r="AB2486" i="5"/>
  <c r="S2486" i="5"/>
  <c r="S2489" i="5"/>
  <c r="F2501" i="5"/>
  <c r="R2501" i="5"/>
  <c r="J2501" i="5"/>
  <c r="I2501" i="5"/>
  <c r="H2501" i="5"/>
  <c r="AB2433" i="5"/>
  <c r="H2438" i="5"/>
  <c r="I2453" i="5"/>
  <c r="H2453" i="5"/>
  <c r="F2453" i="5"/>
  <c r="F2462" i="5"/>
  <c r="X2462" i="5"/>
  <c r="R2462" i="5"/>
  <c r="J2462" i="5"/>
  <c r="I2462" i="5"/>
  <c r="H2462" i="5"/>
  <c r="R2464" i="5"/>
  <c r="R2465" i="5"/>
  <c r="I2465" i="5"/>
  <c r="H2465" i="5"/>
  <c r="F2465" i="5"/>
  <c r="F2472" i="5"/>
  <c r="J2483" i="5"/>
  <c r="I2483" i="5"/>
  <c r="R2483" i="5"/>
  <c r="H2483" i="5"/>
  <c r="F2483" i="5"/>
  <c r="X2483" i="5"/>
  <c r="F2489" i="5"/>
  <c r="X2489" i="5"/>
  <c r="I2489" i="5"/>
  <c r="H2489" i="5"/>
  <c r="R2489" i="5"/>
  <c r="J2489" i="5"/>
  <c r="J2494" i="5"/>
  <c r="I2494" i="5"/>
  <c r="H2494" i="5"/>
  <c r="G17" i="6"/>
  <c r="H17" i="6"/>
  <c r="AB2443" i="5"/>
  <c r="S2443" i="5"/>
  <c r="S2450" i="5"/>
  <c r="S2452" i="5"/>
  <c r="J2461" i="5"/>
  <c r="J2469" i="5"/>
  <c r="S2495" i="5"/>
  <c r="S2499" i="5"/>
  <c r="S2503" i="5"/>
  <c r="D9" i="6"/>
  <c r="G15" i="6"/>
  <c r="H15" i="6"/>
  <c r="B20" i="6"/>
  <c r="F25" i="6"/>
  <c r="AB2447" i="5"/>
  <c r="S2447" i="5"/>
  <c r="F2458" i="5"/>
  <c r="X2458" i="5"/>
  <c r="AB2458" i="5"/>
  <c r="F2466" i="5"/>
  <c r="X2466" i="5"/>
  <c r="AB2466" i="5"/>
  <c r="F2474" i="5"/>
  <c r="X2474" i="5"/>
  <c r="AB2474" i="5"/>
  <c r="S2494" i="5"/>
  <c r="F2495" i="5"/>
  <c r="R2495" i="5"/>
  <c r="J2495" i="5"/>
  <c r="S2498" i="5"/>
  <c r="F2499" i="5"/>
  <c r="R2499" i="5"/>
  <c r="J2499" i="5"/>
  <c r="S2502" i="5"/>
  <c r="F2503" i="5"/>
  <c r="R2503" i="5"/>
  <c r="J2503" i="5"/>
  <c r="AB2459" i="5"/>
  <c r="AB2467" i="5"/>
  <c r="AB2475" i="5"/>
  <c r="R2488" i="5"/>
  <c r="J2488" i="5"/>
  <c r="I2488" i="5"/>
  <c r="AB2491" i="5"/>
  <c r="D4" i="6"/>
  <c r="F2481" i="5"/>
  <c r="X2481" i="5"/>
  <c r="R2492" i="5"/>
  <c r="J2492" i="5"/>
  <c r="S2504" i="5"/>
  <c r="S2477" i="5"/>
  <c r="AB2482" i="5"/>
  <c r="X2484" i="5"/>
  <c r="B21" i="6"/>
  <c r="B51" i="6"/>
  <c r="G51" i="6"/>
  <c r="G16" i="6"/>
  <c r="H16" i="6"/>
  <c r="B19" i="6"/>
  <c r="A38" i="2"/>
  <c r="J4" i="5"/>
  <c r="B41" i="4"/>
  <c r="A55" i="2"/>
  <c r="A73" i="2"/>
  <c r="B9" i="3"/>
  <c r="A3" i="2"/>
  <c r="A20" i="2"/>
  <c r="B17" i="3"/>
  <c r="B29" i="4"/>
  <c r="B25" i="3"/>
  <c r="C20" i="3"/>
  <c r="A75" i="2"/>
  <c r="C25" i="3"/>
  <c r="N4" i="5"/>
  <c r="A43" i="2"/>
  <c r="C3" i="3"/>
  <c r="C19" i="3"/>
  <c r="B31" i="4"/>
  <c r="A18" i="6"/>
  <c r="P4" i="5"/>
  <c r="A45" i="2"/>
  <c r="C4" i="3"/>
  <c r="B26" i="4"/>
  <c r="A12" i="2"/>
  <c r="A29" i="2"/>
  <c r="A46" i="2"/>
  <c r="A63" i="2"/>
  <c r="B5" i="3"/>
  <c r="B13" i="3"/>
  <c r="B21" i="3"/>
  <c r="B29" i="3"/>
  <c r="B9" i="4"/>
  <c r="A5" i="6"/>
  <c r="B39" i="4"/>
  <c r="G3" i="5"/>
  <c r="B19" i="4"/>
  <c r="H74" i="4"/>
  <c r="A11" i="2"/>
  <c r="A28" i="2"/>
  <c r="A62" i="2"/>
  <c r="C12" i="3"/>
  <c r="C28" i="3"/>
  <c r="B7" i="4"/>
  <c r="B87" i="4"/>
  <c r="A62" i="6"/>
  <c r="J2" i="5"/>
  <c r="A13" i="2"/>
  <c r="A30" i="2"/>
  <c r="A48" i="2"/>
  <c r="A64" i="2"/>
  <c r="C5" i="3"/>
  <c r="C13" i="3"/>
  <c r="C21" i="3"/>
  <c r="C29" i="3"/>
  <c r="B67" i="4"/>
  <c r="A48" i="6"/>
  <c r="B73" i="4"/>
  <c r="B4" i="5"/>
  <c r="B2006" i="7"/>
  <c r="A21" i="2"/>
  <c r="A39" i="2"/>
  <c r="C17" i="3"/>
  <c r="B55" i="4"/>
  <c r="A38" i="6"/>
  <c r="A4" i="2"/>
  <c r="A56" i="2"/>
  <c r="C9" i="3"/>
  <c r="B4" i="4"/>
  <c r="B24" i="4"/>
  <c r="B79" i="4"/>
  <c r="A57" i="6"/>
  <c r="A9" i="2"/>
  <c r="A26" i="2"/>
  <c r="A60" i="2"/>
  <c r="C11" i="3"/>
  <c r="C27" i="3"/>
  <c r="D25" i="4"/>
  <c r="B83" i="4"/>
  <c r="A59" i="6"/>
  <c r="A17" i="2"/>
  <c r="A34" i="2"/>
  <c r="A52" i="2"/>
  <c r="A70" i="2"/>
  <c r="C7" i="3"/>
  <c r="C15" i="3"/>
  <c r="C23" i="3"/>
  <c r="C31" i="3"/>
  <c r="B15" i="4"/>
  <c r="A7" i="6"/>
  <c r="B28" i="4"/>
  <c r="B40" i="4"/>
  <c r="F4" i="5"/>
  <c r="A2" i="2"/>
  <c r="A19" i="2"/>
  <c r="A37" i="2"/>
  <c r="A54" i="2"/>
  <c r="A72" i="2"/>
  <c r="C8" i="3"/>
  <c r="C16" i="3"/>
  <c r="C24" i="3"/>
  <c r="D2" i="4"/>
  <c r="B17" i="4"/>
  <c r="A9" i="6"/>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c r="B45" i="4"/>
  <c r="A30" i="6"/>
  <c r="I74" i="4"/>
  <c r="B89" i="4"/>
  <c r="A63" i="6"/>
  <c r="K4" i="5"/>
  <c r="A15" i="2"/>
  <c r="A32" i="2"/>
  <c r="A50" i="2"/>
  <c r="A66" i="2"/>
  <c r="C6" i="3"/>
  <c r="C14" i="3"/>
  <c r="C22" i="3"/>
  <c r="C30" i="3"/>
  <c r="B27" i="4"/>
  <c r="B43" i="4"/>
  <c r="A28" i="6"/>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c r="L4" i="5"/>
  <c r="A8" i="2"/>
  <c r="A16" i="2"/>
  <c r="A25" i="2"/>
  <c r="A33" i="2"/>
  <c r="A42" i="2"/>
  <c r="A51" i="2"/>
  <c r="A59" i="2"/>
  <c r="A68" i="2"/>
  <c r="B3" i="3"/>
  <c r="B7" i="3"/>
  <c r="B11" i="3"/>
  <c r="B15" i="3"/>
  <c r="B19" i="3"/>
  <c r="B23" i="3"/>
  <c r="B27" i="3"/>
  <c r="B31" i="3"/>
  <c r="B6" i="4"/>
  <c r="B14" i="4"/>
  <c r="B22" i="4"/>
  <c r="A12" i="6"/>
  <c r="B46" i="4"/>
  <c r="A31" i="6"/>
  <c r="B77" i="4"/>
  <c r="A55" i="6"/>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c r="B25" i="4"/>
  <c r="A13" i="6"/>
  <c r="B37" i="4"/>
  <c r="A23" i="6"/>
  <c r="B47" i="4"/>
  <c r="A32" i="6"/>
  <c r="B61" i="4"/>
  <c r="A43" i="6"/>
  <c r="B74" i="4"/>
  <c r="A53" i="6"/>
  <c r="B81" i="4"/>
  <c r="A58" i="6"/>
  <c r="B3" i="5"/>
  <c r="G4" i="5"/>
  <c r="O4" i="5"/>
  <c r="A1" i="6"/>
  <c r="D3" i="6"/>
  <c r="J4" i="6"/>
  <c r="C4" i="6"/>
  <c r="J5" i="6"/>
  <c r="I6" i="6"/>
  <c r="I7" i="6"/>
  <c r="I8" i="6"/>
  <c r="I9" i="6"/>
  <c r="I10" i="6"/>
  <c r="I11" i="6"/>
  <c r="I12" i="6"/>
  <c r="J22" i="6"/>
  <c r="J34" i="6"/>
  <c r="I35" i="6"/>
  <c r="J42" i="6"/>
  <c r="J50" i="6"/>
  <c r="I51" i="6"/>
  <c r="J59" i="6"/>
  <c r="I60" i="6"/>
  <c r="C5" i="7"/>
  <c r="D1" i="6"/>
  <c r="J6" i="6"/>
  <c r="J7" i="6"/>
  <c r="J8" i="6"/>
  <c r="C8" i="6"/>
  <c r="J9" i="6"/>
  <c r="C9" i="6"/>
  <c r="J10" i="6"/>
  <c r="C10" i="6"/>
  <c r="J11" i="6"/>
  <c r="C11" i="6"/>
  <c r="J12" i="6"/>
  <c r="I24" i="6"/>
  <c r="J35" i="6"/>
  <c r="I36" i="6"/>
  <c r="I44" i="6"/>
  <c r="J51" i="6"/>
  <c r="I52" i="6"/>
  <c r="J60" i="6"/>
  <c r="I62" i="6"/>
  <c r="I65" i="6"/>
  <c r="D5" i="7"/>
  <c r="B10" i="4"/>
  <c r="A6" i="6"/>
  <c r="B18" i="4"/>
  <c r="A10" i="6"/>
  <c r="G25" i="4"/>
  <c r="B44" i="4"/>
  <c r="A29" i="6"/>
  <c r="B49" i="4"/>
  <c r="A33" i="6"/>
  <c r="B85" i="4"/>
  <c r="A60" i="6"/>
  <c r="A4" i="5"/>
  <c r="I4" i="5"/>
  <c r="I14" i="6"/>
  <c r="I15" i="6"/>
  <c r="I16" i="6"/>
  <c r="I17" i="6"/>
  <c r="J24" i="6"/>
  <c r="I25" i="6"/>
  <c r="J36" i="6"/>
  <c r="I37" i="6"/>
  <c r="J44" i="6"/>
  <c r="I45" i="6"/>
  <c r="J52" i="6"/>
  <c r="J62" i="6"/>
  <c r="I63" i="6"/>
  <c r="I64" i="6"/>
  <c r="J65" i="6"/>
  <c r="I66" i="6"/>
  <c r="B60" i="1"/>
  <c r="F4" i="8"/>
  <c r="H4" i="8"/>
  <c r="I4" i="8"/>
  <c r="C4" i="8"/>
  <c r="S94" i="5"/>
  <c r="S150" i="5"/>
  <c r="S491" i="5"/>
  <c r="S511" i="5"/>
  <c r="S147" i="5"/>
  <c r="S35" i="5"/>
  <c r="S193" i="5"/>
  <c r="S203" i="5"/>
  <c r="S85" i="5"/>
  <c r="S167" i="5"/>
  <c r="S247" i="5"/>
  <c r="S344" i="5"/>
  <c r="S397" i="5"/>
  <c r="S401" i="5"/>
  <c r="S409" i="5"/>
  <c r="S372" i="5"/>
  <c r="S437" i="5"/>
  <c r="S428" i="5"/>
  <c r="S452" i="5"/>
  <c r="S548" i="5"/>
  <c r="S377" i="5"/>
  <c r="S349" i="5"/>
  <c r="S539" i="5"/>
  <c r="S18"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19"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X2165" i="5"/>
  <c r="J2069" i="5"/>
  <c r="I2069" i="5"/>
  <c r="J1967" i="5"/>
  <c r="I987" i="5"/>
  <c r="H650" i="5"/>
  <c r="X290" i="5"/>
  <c r="X2044" i="5"/>
  <c r="R2044" i="5"/>
  <c r="R1967" i="5"/>
  <c r="F290" i="5"/>
  <c r="H987" i="5"/>
  <c r="X1967" i="5"/>
  <c r="H1959" i="5"/>
  <c r="R987" i="5"/>
  <c r="R2069" i="5"/>
  <c r="I1959" i="5"/>
  <c r="X1272" i="5"/>
  <c r="H2069" i="5"/>
  <c r="J1959" i="5"/>
  <c r="R1959" i="5"/>
  <c r="X1198" i="5"/>
  <c r="I678" i="5"/>
  <c r="H678" i="5"/>
  <c r="J987" i="5"/>
  <c r="S606" i="5"/>
  <c r="S610" i="5"/>
  <c r="X520" i="5"/>
  <c r="X363" i="5"/>
  <c r="X322" i="5"/>
  <c r="X347" i="5"/>
  <c r="X186" i="5"/>
  <c r="X226" i="5"/>
  <c r="X456" i="5"/>
  <c r="S598" i="5"/>
  <c r="X550" i="5"/>
  <c r="X542" i="5"/>
  <c r="X376" i="5"/>
  <c r="X221" i="5"/>
  <c r="X165" i="5"/>
  <c r="X37" i="5"/>
  <c r="X504" i="5"/>
  <c r="X503" i="5"/>
  <c r="X338" i="5"/>
  <c r="X121" i="5"/>
  <c r="X323" i="5"/>
  <c r="X360" i="5"/>
  <c r="X483" i="5"/>
  <c r="X326" i="5"/>
  <c r="X310" i="5"/>
  <c r="X146" i="5"/>
  <c r="X488" i="5"/>
  <c r="X514" i="5"/>
  <c r="X498" i="5"/>
  <c r="X482" i="5"/>
  <c r="X558" i="5"/>
  <c r="X555" i="5"/>
  <c r="X535" i="5"/>
  <c r="X230" i="5"/>
  <c r="X21" i="5"/>
  <c r="X149" i="5"/>
  <c r="X530" i="5"/>
  <c r="X387" i="5"/>
  <c r="X122" i="5"/>
  <c r="X546" i="5"/>
  <c r="X559" i="5"/>
  <c r="S532" i="5"/>
  <c r="X336" i="5"/>
  <c r="X356" i="5"/>
  <c r="S356" i="5"/>
  <c r="X318" i="5"/>
  <c r="X154" i="5"/>
  <c r="X214" i="5"/>
  <c r="X20" i="5"/>
  <c r="X233" i="5"/>
  <c r="X70" i="5"/>
  <c r="X329" i="5"/>
  <c r="X98" i="5"/>
  <c r="X241" i="5"/>
  <c r="X301" i="5"/>
  <c r="X198" i="5"/>
  <c r="X134" i="5"/>
  <c r="X234" i="5"/>
  <c r="X174" i="5"/>
  <c r="X353" i="5"/>
  <c r="X34" i="5"/>
  <c r="S343" i="5"/>
  <c r="X158" i="5"/>
  <c r="X331" i="5"/>
  <c r="X246" i="5"/>
  <c r="X114" i="5"/>
  <c r="X333" i="5"/>
  <c r="X82" i="5"/>
  <c r="X451" i="5"/>
  <c r="X78" i="5"/>
  <c r="X335" i="5"/>
  <c r="X282" i="5"/>
  <c r="X206" i="5"/>
  <c r="X162" i="5"/>
  <c r="X325" i="5"/>
  <c r="X38" i="5"/>
  <c r="X138" i="5"/>
  <c r="X142" i="5"/>
  <c r="X126" i="5"/>
  <c r="X217" i="5"/>
  <c r="X278" i="5"/>
  <c r="X182" i="5"/>
  <c r="X218" i="5"/>
  <c r="X86" i="5"/>
  <c r="X202" i="5"/>
  <c r="X369" i="5"/>
  <c r="X46" i="5"/>
  <c r="X315" i="5"/>
  <c r="S315" i="5"/>
  <c r="X96" i="5"/>
  <c r="X48" i="5"/>
  <c r="X22" i="5"/>
  <c r="X327" i="5"/>
  <c r="X118" i="5"/>
  <c r="X311" i="5"/>
  <c r="X253" i="5"/>
  <c r="X54" i="5"/>
  <c r="X50" i="5"/>
  <c r="X317" i="5"/>
  <c r="X66" i="5"/>
  <c r="X373" i="5"/>
  <c r="X62" i="5"/>
  <c r="X357" i="5"/>
  <c r="S357" i="5"/>
  <c r="X90" i="5"/>
  <c r="X130" i="5"/>
  <c r="X383" i="5"/>
  <c r="S383" i="5"/>
  <c r="X313" i="5"/>
  <c r="X92" i="5"/>
  <c r="X76" i="5"/>
  <c r="X44" i="5"/>
  <c r="X250" i="5"/>
  <c r="X319" i="5"/>
  <c r="X242" i="5"/>
  <c r="X345" i="5"/>
  <c r="X285" i="5"/>
  <c r="X321" i="5"/>
  <c r="X249" i="5"/>
  <c r="X309" i="5"/>
  <c r="C12" i="6"/>
  <c r="C7" i="6"/>
  <c r="B32" i="6"/>
  <c r="X2318" i="5"/>
  <c r="J1919" i="5"/>
  <c r="X128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X1339" i="5"/>
  <c r="R967" i="5"/>
  <c r="R829" i="5"/>
  <c r="J752" i="5"/>
  <c r="I578" i="5"/>
  <c r="I265" i="5"/>
  <c r="H265" i="5"/>
  <c r="J1492" i="5"/>
  <c r="F2409" i="5"/>
  <c r="R1669" i="5"/>
  <c r="J1577" i="5"/>
  <c r="I1339" i="5"/>
  <c r="X967" i="5"/>
  <c r="J578" i="5"/>
  <c r="X678" i="5"/>
  <c r="F1385" i="5"/>
  <c r="F982" i="5"/>
  <c r="J672" i="5"/>
  <c r="X650" i="5"/>
  <c r="J1051" i="5"/>
  <c r="H2173" i="5"/>
  <c r="J1684" i="5"/>
  <c r="I1385" i="5"/>
  <c r="I1051" i="5"/>
  <c r="I1320" i="5"/>
  <c r="I1133" i="5"/>
  <c r="H982" i="5"/>
  <c r="I650" i="5"/>
  <c r="X1385" i="5"/>
  <c r="R1039" i="5"/>
  <c r="I1015" i="5"/>
  <c r="J1320" i="5"/>
  <c r="J1133" i="5"/>
  <c r="I982" i="5"/>
  <c r="J2173" i="5"/>
  <c r="R1320" i="5"/>
  <c r="J982" i="5"/>
  <c r="X2173" i="5"/>
  <c r="H2116" i="5"/>
  <c r="R1754" i="5"/>
  <c r="J1593" i="5"/>
  <c r="H1593" i="5"/>
  <c r="H1385" i="5"/>
  <c r="I672" i="5"/>
  <c r="J215" i="5"/>
  <c r="F2301" i="5"/>
  <c r="R1593" i="5"/>
  <c r="J1385" i="5"/>
  <c r="X1320" i="5"/>
  <c r="J189" i="5"/>
  <c r="R2301" i="5"/>
  <c r="X1593" i="5"/>
  <c r="R1051" i="5"/>
  <c r="R1015" i="5"/>
  <c r="I1039" i="5"/>
  <c r="F1320" i="5"/>
  <c r="R852" i="5"/>
  <c r="F1947" i="5"/>
  <c r="H1947" i="5"/>
  <c r="X1426" i="5"/>
  <c r="I1381" i="5"/>
  <c r="X872" i="5"/>
  <c r="J463" i="5"/>
  <c r="I1947" i="5"/>
  <c r="R1665" i="5"/>
  <c r="X1158" i="5"/>
  <c r="H463" i="5"/>
  <c r="X2363" i="5"/>
  <c r="J1947" i="5"/>
  <c r="J1438" i="5"/>
  <c r="F1158" i="5"/>
  <c r="R1947" i="5"/>
  <c r="J1665" i="5"/>
  <c r="J1426" i="5"/>
  <c r="R262" i="5"/>
  <c r="I2363" i="5"/>
  <c r="I872" i="5"/>
  <c r="I463" i="5"/>
  <c r="R574" i="5"/>
  <c r="I2480" i="5"/>
  <c r="X1947"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X2157" i="5"/>
  <c r="F696" i="5"/>
  <c r="I644" i="5"/>
  <c r="H403" i="5"/>
  <c r="H2397" i="5"/>
  <c r="X2397" i="5"/>
  <c r="X717" i="5"/>
  <c r="J403" i="5"/>
  <c r="J1233" i="5"/>
  <c r="F717" i="5"/>
  <c r="R775" i="5"/>
  <c r="X799" i="5"/>
  <c r="X775" i="5"/>
  <c r="R403" i="5"/>
  <c r="H2317" i="5"/>
  <c r="F799" i="5"/>
  <c r="F775" i="5"/>
  <c r="F2363" i="5"/>
  <c r="H799" i="5"/>
  <c r="H775" i="5"/>
  <c r="J391" i="5"/>
  <c r="H2363" i="5"/>
  <c r="I2317" i="5"/>
  <c r="F1786" i="5"/>
  <c r="F942" i="5"/>
  <c r="I799" i="5"/>
  <c r="I775" i="5"/>
  <c r="X2016" i="5"/>
  <c r="J2016" i="5"/>
  <c r="J1724" i="5"/>
  <c r="X1684" i="5"/>
  <c r="H1434" i="5"/>
  <c r="I1308" i="5"/>
  <c r="F1272" i="5"/>
  <c r="J602" i="5"/>
  <c r="J2077" i="5"/>
  <c r="I2077" i="5"/>
  <c r="J1673" i="5"/>
  <c r="X1716" i="5"/>
  <c r="R1403" i="5"/>
  <c r="R1308" i="5"/>
  <c r="H602" i="5"/>
  <c r="X2257"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X1434" i="5"/>
  <c r="X1673" i="5"/>
  <c r="F1051" i="5"/>
  <c r="J115" i="5"/>
  <c r="F115" i="5"/>
  <c r="I115" i="5"/>
  <c r="F265" i="5"/>
  <c r="F672" i="5"/>
  <c r="R115" i="5"/>
  <c r="R1724" i="5"/>
  <c r="F1680" i="5"/>
  <c r="H1672" i="5"/>
  <c r="X1325" i="5"/>
  <c r="J1224" i="5"/>
  <c r="J696" i="5"/>
  <c r="I1325" i="5"/>
  <c r="F1681" i="5"/>
  <c r="H1700" i="5"/>
  <c r="X1724"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X1313" i="5"/>
  <c r="F1224" i="5"/>
  <c r="H648" i="5"/>
  <c r="R419" i="5"/>
  <c r="X2293"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X1754" i="5"/>
  <c r="R1644" i="5"/>
  <c r="R1253" i="5"/>
  <c r="H1253" i="5"/>
  <c r="H1233" i="5"/>
  <c r="I596" i="5"/>
  <c r="R447" i="5"/>
  <c r="X2310" i="5"/>
  <c r="F2092" i="5"/>
  <c r="R1859" i="5"/>
  <c r="X1253" i="5"/>
  <c r="H415" i="5"/>
  <c r="H395" i="5"/>
  <c r="X2480" i="5"/>
  <c r="F1859" i="5"/>
  <c r="X1859" i="5"/>
  <c r="X1668" i="5"/>
  <c r="X1508" i="5"/>
  <c r="X1222" i="5"/>
  <c r="R1086" i="5"/>
  <c r="I836" i="5"/>
  <c r="H596" i="5"/>
  <c r="R415" i="5"/>
  <c r="J447" i="5"/>
  <c r="J395" i="5"/>
  <c r="F2480" i="5"/>
  <c r="X2386" i="5"/>
  <c r="J2164" i="5"/>
  <c r="R1653" i="5"/>
  <c r="J1653" i="5"/>
  <c r="F1508" i="5"/>
  <c r="F1222" i="5"/>
  <c r="H1297" i="5"/>
  <c r="F836" i="5"/>
  <c r="R836" i="5"/>
  <c r="R395" i="5"/>
  <c r="I496" i="5"/>
  <c r="F1233" i="5"/>
  <c r="X1900" i="5"/>
  <c r="J1725" i="5"/>
  <c r="H1716" i="5"/>
  <c r="F1403" i="5"/>
  <c r="X1381" i="5"/>
  <c r="X1329" i="5"/>
  <c r="I1095" i="5"/>
  <c r="X971" i="5"/>
  <c r="X2213" i="5"/>
  <c r="X1633" i="5"/>
  <c r="R808" i="5"/>
  <c r="J239" i="5"/>
  <c r="J2133" i="5"/>
  <c r="J2161" i="5"/>
  <c r="X1919" i="5"/>
  <c r="I1716" i="5"/>
  <c r="H1426" i="5"/>
  <c r="H1329" i="5"/>
  <c r="I608" i="5"/>
  <c r="F808" i="5"/>
  <c r="J314" i="5"/>
  <c r="H239" i="5"/>
  <c r="R2133" i="5"/>
  <c r="R2161" i="5"/>
  <c r="F1919" i="5"/>
  <c r="J1716" i="5"/>
  <c r="X1403" i="5"/>
  <c r="R1067" i="5"/>
  <c r="X1308" i="5"/>
  <c r="J1145" i="5"/>
  <c r="H883" i="5"/>
  <c r="H447" i="5"/>
  <c r="I808" i="5"/>
  <c r="F175" i="5"/>
  <c r="X2133" i="5"/>
  <c r="H1900" i="5"/>
  <c r="I1919" i="5"/>
  <c r="R1716" i="5"/>
  <c r="H1684" i="5"/>
  <c r="R1285" i="5"/>
  <c r="F1308" i="5"/>
  <c r="F883" i="5"/>
  <c r="I1403" i="5"/>
  <c r="H1919" i="5"/>
  <c r="I1684" i="5"/>
  <c r="X1285" i="5"/>
  <c r="I1123" i="5"/>
  <c r="I1067" i="5"/>
  <c r="I883" i="5"/>
  <c r="F314" i="5"/>
  <c r="R883" i="5"/>
  <c r="X783" i="5"/>
  <c r="F1900" i="5"/>
  <c r="R1919" i="5"/>
  <c r="R1725" i="5"/>
  <c r="R1684" i="5"/>
  <c r="X1526" i="5"/>
  <c r="J1308" i="5"/>
  <c r="J2181" i="5"/>
  <c r="H2164" i="5"/>
  <c r="R2184" i="5"/>
  <c r="J1668" i="5"/>
  <c r="R1660" i="5"/>
  <c r="X1688" i="5"/>
  <c r="H1652" i="5"/>
  <c r="I1644" i="5"/>
  <c r="H942" i="5"/>
  <c r="I720" i="5"/>
  <c r="R2181" i="5"/>
  <c r="I2164" i="5"/>
  <c r="X2012" i="5"/>
  <c r="X2092" i="5"/>
  <c r="R1668" i="5"/>
  <c r="F1708" i="5"/>
  <c r="X1660" i="5"/>
  <c r="I1652" i="5"/>
  <c r="J1644" i="5"/>
  <c r="X942" i="5"/>
  <c r="X767" i="5"/>
  <c r="H391" i="5"/>
  <c r="J720" i="5"/>
  <c r="J2454" i="5"/>
  <c r="F2215" i="5"/>
  <c r="X2215" i="5"/>
  <c r="X2184" i="5"/>
  <c r="R2164" i="5"/>
  <c r="I2043" i="5"/>
  <c r="R1657" i="5"/>
  <c r="R1652" i="5"/>
  <c r="H1708" i="5"/>
  <c r="X1644" i="5"/>
  <c r="I942" i="5"/>
  <c r="H767" i="5"/>
  <c r="J680" i="5"/>
  <c r="H720" i="5"/>
  <c r="I680" i="5"/>
  <c r="X680" i="5"/>
  <c r="R391" i="5"/>
  <c r="F2012" i="5"/>
  <c r="R2454" i="5"/>
  <c r="H2215" i="5"/>
  <c r="J2043" i="5"/>
  <c r="H2092" i="5"/>
  <c r="H1688" i="5"/>
  <c r="X1652" i="5"/>
  <c r="I1708" i="5"/>
  <c r="R942" i="5"/>
  <c r="I767" i="5"/>
  <c r="R720" i="5"/>
  <c r="F2253" i="5"/>
  <c r="X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X2197" i="5"/>
  <c r="X2409" i="5"/>
  <c r="I2116" i="5"/>
  <c r="R1774" i="5"/>
  <c r="R1140" i="5"/>
  <c r="H869" i="5"/>
  <c r="X852" i="5"/>
  <c r="R754" i="5"/>
  <c r="J439" i="5"/>
  <c r="J411" i="5"/>
  <c r="J293" i="5"/>
  <c r="H277" i="5"/>
  <c r="X1140" i="5"/>
  <c r="J2116" i="5"/>
  <c r="I1855" i="5"/>
  <c r="X1842" i="5"/>
  <c r="H1774" i="5"/>
  <c r="H1811" i="5"/>
  <c r="X1774" i="5"/>
  <c r="R979" i="5"/>
  <c r="F852" i="5"/>
  <c r="F817" i="5"/>
  <c r="I580" i="5"/>
  <c r="H293" i="5"/>
  <c r="R2116" i="5"/>
  <c r="H1855" i="5"/>
  <c r="I1811" i="5"/>
  <c r="F1774" i="5"/>
  <c r="X730" i="5"/>
  <c r="X1086" i="5"/>
  <c r="J869" i="5"/>
  <c r="R580" i="5"/>
  <c r="F1842" i="5"/>
  <c r="J1855" i="5"/>
  <c r="J1811" i="5"/>
  <c r="H1140" i="5"/>
  <c r="R1292" i="5"/>
  <c r="I888" i="5"/>
  <c r="F738" i="5"/>
  <c r="H580" i="5"/>
  <c r="J277" i="5"/>
  <c r="H1086" i="5"/>
  <c r="R869" i="5"/>
  <c r="J592" i="5"/>
  <c r="I87" i="5"/>
  <c r="I2417" i="5"/>
  <c r="H1842" i="5"/>
  <c r="R1855" i="5"/>
  <c r="X1811" i="5"/>
  <c r="H1317" i="5"/>
  <c r="I979" i="5"/>
  <c r="X869" i="5"/>
  <c r="F888" i="5"/>
  <c r="R730" i="5"/>
  <c r="X738" i="5"/>
  <c r="F524" i="5"/>
  <c r="F1140" i="5"/>
  <c r="J580" i="5"/>
  <c r="I1842" i="5"/>
  <c r="X1855" i="5"/>
  <c r="R1811" i="5"/>
  <c r="F1471" i="5"/>
  <c r="R1317" i="5"/>
  <c r="I1086" i="5"/>
  <c r="I869" i="5"/>
  <c r="H730" i="5"/>
  <c r="H592" i="5"/>
  <c r="R411" i="5"/>
  <c r="H439" i="5"/>
  <c r="H411" i="5"/>
  <c r="I277" i="5"/>
  <c r="I730" i="5"/>
  <c r="F87" i="5"/>
  <c r="R87" i="5"/>
  <c r="J1842" i="5"/>
  <c r="H1696" i="5"/>
  <c r="X1317" i="5"/>
  <c r="J1086" i="5"/>
  <c r="I524" i="5"/>
  <c r="R439" i="5"/>
  <c r="I293" i="5"/>
  <c r="J87" i="5"/>
  <c r="B30" i="6"/>
  <c r="G30" i="6"/>
  <c r="B41" i="6"/>
  <c r="G41" i="6"/>
  <c r="B31" i="6"/>
  <c r="G31" i="6"/>
  <c r="J306" i="5"/>
  <c r="J2417" i="5"/>
  <c r="J2160" i="5"/>
  <c r="F1876" i="5"/>
  <c r="X1801" i="5"/>
  <c r="R1770" i="5"/>
  <c r="R1700" i="5"/>
  <c r="X1609" i="5"/>
  <c r="X1577" i="5"/>
  <c r="I1696" i="5"/>
  <c r="I1672" i="5"/>
  <c r="F1126" i="5"/>
  <c r="F875" i="5"/>
  <c r="R888" i="5"/>
  <c r="X829" i="5"/>
  <c r="F783" i="5"/>
  <c r="R757" i="5"/>
  <c r="I588" i="5"/>
  <c r="R431" i="5"/>
  <c r="J435" i="5"/>
  <c r="F102" i="5"/>
  <c r="X2325" i="5"/>
  <c r="H2012" i="5"/>
  <c r="F640" i="5"/>
  <c r="J207" i="5"/>
  <c r="F2197" i="5"/>
  <c r="R2417" i="5"/>
  <c r="H2409" i="5"/>
  <c r="X2317" i="5"/>
  <c r="H2011" i="5"/>
  <c r="J1876" i="5"/>
  <c r="X1770" i="5"/>
  <c r="J1669" i="5"/>
  <c r="X1700" i="5"/>
  <c r="J1696" i="5"/>
  <c r="F1700" i="5"/>
  <c r="F1712" i="5"/>
  <c r="J1672" i="5"/>
  <c r="R1003" i="5"/>
  <c r="X1352" i="5"/>
  <c r="X1292" i="5"/>
  <c r="I974" i="5"/>
  <c r="H1138" i="5"/>
  <c r="H875" i="5"/>
  <c r="H783" i="5"/>
  <c r="I757" i="5"/>
  <c r="I640" i="5"/>
  <c r="H644" i="5"/>
  <c r="H435" i="5"/>
  <c r="F334" i="5"/>
  <c r="J2397" i="5"/>
  <c r="I2012" i="5"/>
  <c r="J640" i="5"/>
  <c r="I2197" i="5"/>
  <c r="X241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X1672" i="5"/>
  <c r="I1003" i="5"/>
  <c r="H1352" i="5"/>
  <c r="R974" i="5"/>
  <c r="I1074" i="5"/>
  <c r="I875" i="5"/>
  <c r="J783" i="5"/>
  <c r="J749" i="5"/>
  <c r="X757" i="5"/>
  <c r="R334" i="5"/>
  <c r="F306" i="5"/>
  <c r="X2301" i="5"/>
  <c r="I1801" i="5"/>
  <c r="J1664" i="5"/>
  <c r="I1712" i="5"/>
  <c r="X1494" i="5"/>
  <c r="X1190" i="5"/>
  <c r="J1352" i="5"/>
  <c r="I1292" i="5"/>
  <c r="R875" i="5"/>
  <c r="R738" i="5"/>
  <c r="X749" i="5"/>
  <c r="I717" i="5"/>
  <c r="R718" i="5"/>
  <c r="F757" i="5"/>
  <c r="I306" i="5"/>
  <c r="H189" i="5"/>
  <c r="F189" i="5"/>
  <c r="R207" i="5"/>
  <c r="F281" i="5"/>
  <c r="X1510" i="5"/>
  <c r="F1190" i="5"/>
  <c r="I983" i="5"/>
  <c r="J1292" i="5"/>
  <c r="X974" i="5"/>
  <c r="F749" i="5"/>
  <c r="J717" i="5"/>
  <c r="H640" i="5"/>
  <c r="H588" i="5"/>
  <c r="R435" i="5"/>
  <c r="H431" i="5"/>
  <c r="I281" i="5"/>
  <c r="I189" i="5"/>
  <c r="F2061" i="5"/>
  <c r="H556" i="5"/>
  <c r="H2197" i="5"/>
  <c r="F2405" i="5"/>
  <c r="F2386" i="5"/>
  <c r="R2289" i="5"/>
  <c r="X2154" i="5"/>
  <c r="R2160" i="5"/>
  <c r="I2100" i="5"/>
  <c r="R2035" i="5"/>
  <c r="X1876" i="5"/>
  <c r="I1867" i="5"/>
  <c r="X1304" i="5"/>
  <c r="I1145" i="5"/>
  <c r="J1074" i="5"/>
  <c r="R794" i="5"/>
  <c r="I634" i="5"/>
  <c r="H670" i="5"/>
  <c r="X634" i="5"/>
  <c r="F1940" i="5"/>
  <c r="F2289" i="5"/>
  <c r="F2154" i="5"/>
  <c r="J2100" i="5"/>
  <c r="J1940" i="5"/>
  <c r="X2035" i="5"/>
  <c r="J1867" i="5"/>
  <c r="I1761" i="5"/>
  <c r="X1471" i="5"/>
  <c r="F1193" i="5"/>
  <c r="R1115" i="5"/>
  <c r="I1035" i="5"/>
  <c r="F1304" i="5"/>
  <c r="X1145" i="5"/>
  <c r="R1074" i="5"/>
  <c r="F814" i="5"/>
  <c r="J814" i="5"/>
  <c r="F243" i="5"/>
  <c r="J1527" i="5"/>
  <c r="I1527" i="5"/>
  <c r="H1527" i="5"/>
  <c r="X1527" i="5"/>
  <c r="F592" i="5"/>
  <c r="R592" i="5"/>
  <c r="I2386" i="5"/>
  <c r="H2405" i="5"/>
  <c r="H2180" i="5"/>
  <c r="R2100" i="5"/>
  <c r="R1940" i="5"/>
  <c r="R1867" i="5"/>
  <c r="J1193" i="5"/>
  <c r="F1145" i="5"/>
  <c r="F867" i="5"/>
  <c r="J303" i="5"/>
  <c r="H1940" i="5"/>
  <c r="H243" i="5"/>
  <c r="J2405" i="5"/>
  <c r="X2160" i="5"/>
  <c r="I2180" i="5"/>
  <c r="X1940" i="5"/>
  <c r="X1867" i="5"/>
  <c r="I1786" i="5"/>
  <c r="J1471" i="5"/>
  <c r="I1131" i="5"/>
  <c r="I1115" i="5"/>
  <c r="I1304" i="5"/>
  <c r="R1145" i="5"/>
  <c r="X814" i="5"/>
  <c r="H634" i="5"/>
  <c r="R423" i="5"/>
  <c r="I2289" i="5"/>
  <c r="J1435" i="5"/>
  <c r="I1435" i="5"/>
  <c r="H1435" i="5"/>
  <c r="R2405" i="5"/>
  <c r="H2386" i="5"/>
  <c r="J2180" i="5"/>
  <c r="X2100" i="5"/>
  <c r="J1952" i="5"/>
  <c r="J1786" i="5"/>
  <c r="J1304" i="5"/>
  <c r="X1074" i="5"/>
  <c r="J423" i="5"/>
  <c r="R303" i="5"/>
  <c r="F330" i="5"/>
  <c r="H379" i="5"/>
  <c r="J330" i="5"/>
  <c r="F71" i="5"/>
  <c r="R71" i="5"/>
  <c r="F2381" i="5"/>
  <c r="X2405" i="5"/>
  <c r="J2386" i="5"/>
  <c r="R2180" i="5"/>
  <c r="H2160" i="5"/>
  <c r="F2100" i="5"/>
  <c r="R1952" i="5"/>
  <c r="H2035" i="5"/>
  <c r="F1867" i="5"/>
  <c r="R1786" i="5"/>
  <c r="R1131" i="5"/>
  <c r="R1304" i="5"/>
  <c r="I971" i="5"/>
  <c r="F1074" i="5"/>
  <c r="F971" i="5"/>
  <c r="I817" i="5"/>
  <c r="I330" i="5"/>
  <c r="J379" i="5"/>
  <c r="I303" i="5"/>
  <c r="H201" i="5"/>
  <c r="R2386" i="5"/>
  <c r="I2160" i="5"/>
  <c r="X1952" i="5"/>
  <c r="I2035" i="5"/>
  <c r="X1786" i="5"/>
  <c r="I1471" i="5"/>
  <c r="R1471" i="5"/>
  <c r="R971" i="5"/>
  <c r="H1145" i="5"/>
  <c r="H971" i="5"/>
  <c r="J817" i="5"/>
  <c r="R817" i="5"/>
  <c r="F303" i="5"/>
  <c r="I201" i="5"/>
  <c r="J71" i="5"/>
  <c r="I71" i="5"/>
  <c r="F201" i="5"/>
  <c r="R1055" i="5"/>
  <c r="I891" i="5"/>
  <c r="H867" i="5"/>
  <c r="R712" i="5"/>
  <c r="R427" i="5"/>
  <c r="J194" i="5"/>
  <c r="R608" i="5"/>
  <c r="J712" i="5"/>
  <c r="X2465" i="5"/>
  <c r="J2465" i="5"/>
  <c r="F1696" i="5"/>
  <c r="I2205" i="5"/>
  <c r="R2205" i="5"/>
  <c r="J2205" i="5"/>
  <c r="H2205" i="5"/>
  <c r="F2205" i="5"/>
  <c r="X2205" i="5"/>
  <c r="X640" i="5"/>
  <c r="R640" i="5"/>
  <c r="J1067" i="5"/>
  <c r="H1067" i="5"/>
  <c r="X672" i="5"/>
  <c r="R672" i="5"/>
  <c r="H175" i="5"/>
  <c r="R175" i="5"/>
  <c r="J175" i="5"/>
  <c r="H808" i="5"/>
  <c r="J808" i="5"/>
  <c r="X808" i="5"/>
  <c r="X644" i="5"/>
  <c r="F644" i="5"/>
  <c r="I2265" i="5"/>
  <c r="R2265" i="5"/>
  <c r="J2265" i="5"/>
  <c r="F608" i="5"/>
  <c r="J1138" i="5"/>
  <c r="X891" i="5"/>
  <c r="I867" i="5"/>
  <c r="R915" i="5"/>
  <c r="R710" i="5"/>
  <c r="H664" i="5"/>
  <c r="H608" i="5"/>
  <c r="H407" i="5"/>
  <c r="F194" i="5"/>
  <c r="I2215" i="5"/>
  <c r="J2215" i="5"/>
  <c r="J1198" i="5"/>
  <c r="R1198" i="5"/>
  <c r="I1198" i="5"/>
  <c r="H1198" i="5"/>
  <c r="X987" i="5"/>
  <c r="F987" i="5"/>
  <c r="H851" i="5"/>
  <c r="F851" i="5"/>
  <c r="R1107" i="5"/>
  <c r="F931" i="5"/>
  <c r="I931" i="5"/>
  <c r="I1138" i="5"/>
  <c r="R867" i="5"/>
  <c r="X915" i="5"/>
  <c r="I712" i="5"/>
  <c r="X679" i="5"/>
  <c r="H710" i="5"/>
  <c r="J407" i="5"/>
  <c r="H1526" i="5"/>
  <c r="R1526" i="5"/>
  <c r="F580" i="5"/>
  <c r="H836" i="5"/>
  <c r="J836" i="5"/>
  <c r="R1158" i="5"/>
  <c r="J1158" i="5"/>
  <c r="I1158" i="5"/>
  <c r="H215" i="5"/>
  <c r="I215" i="5"/>
  <c r="F215" i="5"/>
  <c r="R931" i="5"/>
  <c r="R1138" i="5"/>
  <c r="X867" i="5"/>
  <c r="I679" i="5"/>
  <c r="J427" i="5"/>
  <c r="F2265" i="5"/>
  <c r="X2265" i="5"/>
  <c r="I2199" i="5"/>
  <c r="R2199" i="5"/>
  <c r="J2199" i="5"/>
  <c r="X1051" i="5"/>
  <c r="H1051" i="5"/>
  <c r="R578" i="5"/>
  <c r="F578" i="5"/>
  <c r="R306" i="5"/>
  <c r="H306" i="5"/>
  <c r="R243" i="5"/>
  <c r="J243" i="5"/>
  <c r="I243" i="5"/>
  <c r="J1761" i="5"/>
  <c r="I1510" i="5"/>
  <c r="X1464"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X1138" i="5"/>
  <c r="H891" i="5"/>
  <c r="H915" i="5"/>
  <c r="J608" i="5"/>
  <c r="X712" i="5"/>
  <c r="X2189"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X2381" i="5"/>
  <c r="J1309" i="5"/>
  <c r="I1309" i="5"/>
  <c r="J1325" i="5"/>
  <c r="F1325" i="5"/>
  <c r="H43" i="5"/>
  <c r="I43" i="5"/>
  <c r="J43" i="5"/>
  <c r="R43" i="5"/>
  <c r="H91" i="5"/>
  <c r="R91" i="5"/>
  <c r="I91" i="5"/>
  <c r="J91" i="5"/>
  <c r="X2334" i="5"/>
  <c r="I2334" i="5"/>
  <c r="J2334" i="5"/>
  <c r="H2334" i="5"/>
  <c r="F2334" i="5"/>
  <c r="I2161" i="5"/>
  <c r="H2161" i="5"/>
  <c r="F2161" i="5"/>
  <c r="R1876" i="5"/>
  <c r="I1876" i="5"/>
  <c r="H1936" i="5"/>
  <c r="I1936" i="5"/>
  <c r="X1697" i="5"/>
  <c r="F1697" i="5"/>
  <c r="I1697" i="5"/>
  <c r="H1697" i="5"/>
  <c r="X1713" i="5"/>
  <c r="I1713" i="5"/>
  <c r="H1713" i="5"/>
  <c r="F1713" i="5"/>
  <c r="F1664" i="5"/>
  <c r="J1508" i="5"/>
  <c r="R1508" i="5"/>
  <c r="X1645" i="5"/>
  <c r="I1645" i="5"/>
  <c r="H1645" i="5"/>
  <c r="F1645" i="5"/>
  <c r="J1297" i="5"/>
  <c r="I1297" i="5"/>
  <c r="F1297" i="5"/>
  <c r="X1071" i="5"/>
  <c r="J1071" i="5"/>
  <c r="H1071" i="5"/>
  <c r="F1071" i="5"/>
  <c r="X1035" i="5"/>
  <c r="F1035" i="5"/>
  <c r="H1035" i="5"/>
  <c r="J1035" i="5"/>
  <c r="H794" i="5"/>
  <c r="I794" i="5"/>
  <c r="J794" i="5"/>
  <c r="F794" i="5"/>
  <c r="X794" i="5"/>
  <c r="X1007" i="5"/>
  <c r="J1007" i="5"/>
  <c r="H1007" i="5"/>
  <c r="F1007" i="5"/>
  <c r="X632" i="5"/>
  <c r="R632" i="5"/>
  <c r="F632" i="5"/>
  <c r="J632" i="5"/>
  <c r="J829" i="5"/>
  <c r="H829" i="5"/>
  <c r="R814" i="5"/>
  <c r="I814" i="5"/>
  <c r="I443" i="5"/>
  <c r="F443" i="5"/>
  <c r="H163" i="5"/>
  <c r="R163" i="5"/>
  <c r="J163" i="5"/>
  <c r="I163" i="5"/>
  <c r="F163" i="5"/>
  <c r="I290" i="5"/>
  <c r="X2330" i="5"/>
  <c r="I2330" i="5"/>
  <c r="J2330" i="5"/>
  <c r="H2330" i="5"/>
  <c r="F2330" i="5"/>
  <c r="R2225" i="5"/>
  <c r="J2225" i="5"/>
  <c r="H2225" i="5"/>
  <c r="F2225" i="5"/>
  <c r="X2181" i="5"/>
  <c r="I2181" i="5"/>
  <c r="H2181" i="5"/>
  <c r="F2181" i="5"/>
  <c r="I2165" i="5"/>
  <c r="H2165" i="5"/>
  <c r="F2165" i="5"/>
  <c r="I2044" i="5"/>
  <c r="H2044" i="5"/>
  <c r="F2044" i="5"/>
  <c r="X2069" i="5"/>
  <c r="F2069" i="5"/>
  <c r="R1494" i="5"/>
  <c r="H1494" i="5"/>
  <c r="F1632" i="5"/>
  <c r="J1317" i="5"/>
  <c r="I1317" i="5"/>
  <c r="F1317" i="5"/>
  <c r="I1426" i="5"/>
  <c r="R1426" i="5"/>
  <c r="F1426" i="5"/>
  <c r="R1193" i="5"/>
  <c r="H1193" i="5"/>
  <c r="X1193" i="5"/>
  <c r="I1193" i="5"/>
  <c r="X1123" i="5"/>
  <c r="H1123" i="5"/>
  <c r="F1123" i="5"/>
  <c r="J1123" i="5"/>
  <c r="J943" i="5"/>
  <c r="H943" i="5"/>
  <c r="F943" i="5"/>
  <c r="J888" i="5"/>
  <c r="H888" i="5"/>
  <c r="X979" i="5"/>
  <c r="H979" i="5"/>
  <c r="F979" i="5"/>
  <c r="J979" i="5"/>
  <c r="H774" i="5"/>
  <c r="F774" i="5"/>
  <c r="I774" i="5"/>
  <c r="X774" i="5"/>
  <c r="J774" i="5"/>
  <c r="I710" i="5"/>
  <c r="F710" i="5"/>
  <c r="X710" i="5"/>
  <c r="J576" i="5"/>
  <c r="F576" i="5"/>
  <c r="R576" i="5"/>
  <c r="I423" i="5"/>
  <c r="F423" i="5"/>
  <c r="F379" i="5"/>
  <c r="I379" i="5"/>
  <c r="R297" i="5"/>
  <c r="F297" i="5"/>
  <c r="J290" i="5"/>
  <c r="H2417" i="5"/>
  <c r="F2417" i="5"/>
  <c r="I2173" i="5"/>
  <c r="F2173" i="5"/>
  <c r="I2284" i="5"/>
  <c r="R2284" i="5"/>
  <c r="H2284" i="5"/>
  <c r="F2284" i="5"/>
  <c r="X2284" i="5"/>
  <c r="F2180" i="5"/>
  <c r="X2180" i="5"/>
  <c r="X2237" i="5"/>
  <c r="R2237" i="5"/>
  <c r="J2237" i="5"/>
  <c r="H2237" i="5"/>
  <c r="F2237" i="5"/>
  <c r="H2133" i="5"/>
  <c r="F2133" i="5"/>
  <c r="I2133" i="5"/>
  <c r="I1952" i="5"/>
  <c r="H1952" i="5"/>
  <c r="F1952" i="5"/>
  <c r="F1761" i="5"/>
  <c r="X1761" i="5"/>
  <c r="H1761" i="5"/>
  <c r="J1253" i="5"/>
  <c r="I1253" i="5"/>
  <c r="F1253" i="5"/>
  <c r="I738" i="5"/>
  <c r="J738" i="5"/>
  <c r="J746" i="5"/>
  <c r="I746" i="5"/>
  <c r="X1003"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X1657" i="5"/>
  <c r="F1657" i="5"/>
  <c r="I1657" i="5"/>
  <c r="H1657" i="5"/>
  <c r="F1204" i="5"/>
  <c r="H1204" i="5"/>
  <c r="X1204" i="5"/>
  <c r="I1190" i="5"/>
  <c r="R1190" i="5"/>
  <c r="J1190" i="5"/>
  <c r="X1015" i="5"/>
  <c r="F1015" i="5"/>
  <c r="J1015" i="5"/>
  <c r="H1015" i="5"/>
  <c r="J883" i="5"/>
  <c r="H750" i="5"/>
  <c r="I750" i="5"/>
  <c r="X750" i="5"/>
  <c r="J750" i="5"/>
  <c r="F750" i="5"/>
  <c r="J852" i="5"/>
  <c r="H852" i="5"/>
  <c r="H754" i="5"/>
  <c r="I754" i="5"/>
  <c r="J754" i="5"/>
  <c r="F754" i="5"/>
  <c r="X754" i="5"/>
  <c r="X648"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X2233" i="5"/>
  <c r="R2233" i="5"/>
  <c r="J2233" i="5"/>
  <c r="H2233" i="5"/>
  <c r="F2233" i="5"/>
  <c r="X1641" i="5"/>
  <c r="F1641" i="5"/>
  <c r="I1641" i="5"/>
  <c r="H1641" i="5"/>
  <c r="J1754" i="5"/>
  <c r="H1754" i="5"/>
  <c r="R1510" i="5"/>
  <c r="H1510" i="5"/>
  <c r="F1510" i="5"/>
  <c r="X1079" i="5"/>
  <c r="J1079" i="5"/>
  <c r="H1079" i="5"/>
  <c r="F1079" i="5"/>
  <c r="X1107" i="5"/>
  <c r="J1107" i="5"/>
  <c r="H1107" i="5"/>
  <c r="F1107" i="5"/>
  <c r="I662" i="5"/>
  <c r="F662" i="5"/>
  <c r="X662" i="5"/>
  <c r="R662" i="5"/>
  <c r="J662" i="5"/>
  <c r="J634" i="5"/>
  <c r="R634" i="5"/>
  <c r="F634" i="5"/>
  <c r="X664" i="5"/>
  <c r="R664" i="5"/>
  <c r="I664" i="5"/>
  <c r="F664" i="5"/>
  <c r="I407" i="5"/>
  <c r="F407" i="5"/>
  <c r="H287" i="5"/>
  <c r="R287" i="5"/>
  <c r="J287" i="5"/>
  <c r="I287" i="5"/>
  <c r="F287" i="5"/>
  <c r="I435" i="5"/>
  <c r="F435" i="5"/>
  <c r="H211" i="5"/>
  <c r="R211" i="5"/>
  <c r="J211" i="5"/>
  <c r="I211" i="5"/>
  <c r="F211" i="5"/>
  <c r="I2232" i="5"/>
  <c r="H2232" i="5"/>
  <c r="X2232" i="5"/>
  <c r="F2232" i="5"/>
  <c r="F2454" i="5"/>
  <c r="H2454" i="5"/>
  <c r="X2454" i="5"/>
  <c r="I2454" i="5"/>
  <c r="X2116" i="5"/>
  <c r="F2318" i="5"/>
  <c r="I2318" i="5"/>
  <c r="H2318" i="5"/>
  <c r="X2077" i="5"/>
  <c r="F2077" i="5"/>
  <c r="J1941" i="5"/>
  <c r="I1941" i="5"/>
  <c r="H1941" i="5"/>
  <c r="F1941" i="5"/>
  <c r="X1941" i="5"/>
  <c r="R1941" i="5"/>
  <c r="X1653"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X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X2357" i="5"/>
  <c r="R2357" i="5"/>
  <c r="J2357" i="5"/>
  <c r="I2357" i="5"/>
  <c r="F2164" i="5"/>
  <c r="X2164" i="5"/>
  <c r="X1725" i="5"/>
  <c r="I1725" i="5"/>
  <c r="H1725" i="5"/>
  <c r="F1725" i="5"/>
  <c r="I1430" i="5"/>
  <c r="H1430" i="5"/>
  <c r="F1430" i="5"/>
  <c r="R1430" i="5"/>
  <c r="X1693" i="5"/>
  <c r="I1693" i="5"/>
  <c r="H1693" i="5"/>
  <c r="F1693" i="5"/>
  <c r="J1329" i="5"/>
  <c r="I1329" i="5"/>
  <c r="F1329" i="5"/>
  <c r="X1095" i="5"/>
  <c r="F1095" i="5"/>
  <c r="J1095" i="5"/>
  <c r="H1095" i="5"/>
  <c r="H1110" i="5"/>
  <c r="X1110" i="5"/>
  <c r="X1039" i="5"/>
  <c r="H1039" i="5"/>
  <c r="F1039" i="5"/>
  <c r="J1039" i="5"/>
  <c r="H762" i="5"/>
  <c r="F762" i="5"/>
  <c r="X762" i="5"/>
  <c r="J762" i="5"/>
  <c r="I762" i="5"/>
  <c r="H679" i="5"/>
  <c r="J679" i="5"/>
  <c r="F679" i="5"/>
  <c r="R679" i="5"/>
  <c r="H817" i="5"/>
  <c r="X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X1669" i="5"/>
  <c r="I1669" i="5"/>
  <c r="H1669" i="5"/>
  <c r="F1669" i="5"/>
  <c r="X1701" i="5"/>
  <c r="I1701" i="5"/>
  <c r="H1701" i="5"/>
  <c r="F1701" i="5"/>
  <c r="J1285" i="5"/>
  <c r="I1285" i="5"/>
  <c r="F1285" i="5"/>
  <c r="I1434" i="5"/>
  <c r="R1434" i="5"/>
  <c r="F1434" i="5"/>
  <c r="R1381" i="5"/>
  <c r="J1381" i="5"/>
  <c r="H1381" i="5"/>
  <c r="F1381" i="5"/>
  <c r="X1133" i="5"/>
  <c r="F1133" i="5"/>
  <c r="H1133" i="5"/>
  <c r="R1181" i="5"/>
  <c r="J1181" i="5"/>
  <c r="F1181" i="5"/>
  <c r="H1181" i="5"/>
  <c r="X1181" i="5"/>
  <c r="I1181" i="5"/>
  <c r="X1131" i="5"/>
  <c r="J1131" i="5"/>
  <c r="H1131" i="5"/>
  <c r="F1131" i="5"/>
  <c r="I718" i="5"/>
  <c r="J718" i="5"/>
  <c r="F718" i="5"/>
  <c r="X718" i="5"/>
  <c r="X983" i="5"/>
  <c r="J983" i="5"/>
  <c r="H983" i="5"/>
  <c r="F983" i="5"/>
  <c r="H766" i="5"/>
  <c r="J766" i="5"/>
  <c r="I766" i="5"/>
  <c r="F766" i="5"/>
  <c r="X766" i="5"/>
  <c r="H496" i="5"/>
  <c r="F496" i="5"/>
  <c r="R496" i="5"/>
  <c r="J496" i="5"/>
  <c r="H303" i="5"/>
  <c r="I431" i="5"/>
  <c r="F431" i="5"/>
  <c r="I427" i="5"/>
  <c r="F427" i="5"/>
  <c r="F26" i="6"/>
  <c r="X18" i="5"/>
  <c r="B52" i="6"/>
  <c r="G52" i="6"/>
  <c r="B37" i="6"/>
  <c r="G37" i="6"/>
  <c r="B42" i="6"/>
  <c r="G42" i="6"/>
  <c r="B40" i="6"/>
  <c r="G40" i="6"/>
  <c r="B50" i="6"/>
  <c r="G50" i="6"/>
  <c r="B25" i="6"/>
  <c r="G25" i="6"/>
  <c r="B35" i="6"/>
  <c r="G35" i="6"/>
  <c r="X6" i="5"/>
  <c r="B39" i="6"/>
  <c r="G39" i="6"/>
  <c r="F24" i="6"/>
  <c r="C14" i="6"/>
  <c r="B44" i="6"/>
  <c r="G44" i="6"/>
  <c r="G32" i="6"/>
  <c r="B49" i="6"/>
  <c r="G49" i="6"/>
  <c r="B34" i="6"/>
  <c r="G34" i="6"/>
  <c r="B29" i="6"/>
  <c r="G29" i="6"/>
  <c r="B24" i="6"/>
  <c r="G24" i="6"/>
  <c r="G19" i="6"/>
  <c r="H19" i="6"/>
  <c r="F2426" i="5"/>
  <c r="X2426" i="5"/>
  <c r="R2426" i="5"/>
  <c r="J2426" i="5"/>
  <c r="I2426" i="5"/>
  <c r="H2426" i="5"/>
  <c r="D5" i="6"/>
  <c r="C5" i="6"/>
  <c r="F2446" i="5"/>
  <c r="H2446" i="5"/>
  <c r="X2446" i="5"/>
  <c r="J2446" i="5"/>
  <c r="I2446" i="5"/>
  <c r="R2446" i="5"/>
  <c r="G22" i="6"/>
  <c r="B47" i="6"/>
  <c r="G47" i="6"/>
  <c r="J2504" i="5"/>
  <c r="I2504" i="5"/>
  <c r="H2504" i="5"/>
  <c r="R2504" i="5"/>
  <c r="F2504" i="5"/>
  <c r="X2504" i="5"/>
  <c r="F2434" i="5"/>
  <c r="R2434" i="5"/>
  <c r="J2434" i="5"/>
  <c r="I2434" i="5"/>
  <c r="H2434" i="5"/>
  <c r="X2434" i="5"/>
  <c r="H2459" i="5"/>
  <c r="R2459" i="5"/>
  <c r="J2459" i="5"/>
  <c r="I2459" i="5"/>
  <c r="F2459" i="5"/>
  <c r="X2459" i="5"/>
  <c r="I2399" i="5"/>
  <c r="H2399" i="5"/>
  <c r="F2399" i="5"/>
  <c r="R2399" i="5"/>
  <c r="J2399" i="5"/>
  <c r="X2399" i="5"/>
  <c r="J2392" i="5"/>
  <c r="I2392" i="5"/>
  <c r="R2392" i="5"/>
  <c r="H2392" i="5"/>
  <c r="F2392" i="5"/>
  <c r="X2392" i="5"/>
  <c r="H2369" i="5"/>
  <c r="F2369" i="5"/>
  <c r="J2369" i="5"/>
  <c r="I2369" i="5"/>
  <c r="X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X2272" i="5"/>
  <c r="F2272" i="5"/>
  <c r="J2200" i="5"/>
  <c r="X2200" i="5"/>
  <c r="R2200" i="5"/>
  <c r="I2200" i="5"/>
  <c r="H2200" i="5"/>
  <c r="F2200" i="5"/>
  <c r="H2254" i="5"/>
  <c r="F2254" i="5"/>
  <c r="X2254" i="5"/>
  <c r="R2254" i="5"/>
  <c r="J2254" i="5"/>
  <c r="I2254" i="5"/>
  <c r="H2258" i="5"/>
  <c r="F2258" i="5"/>
  <c r="X2258" i="5"/>
  <c r="R2258" i="5"/>
  <c r="J2258" i="5"/>
  <c r="I2258" i="5"/>
  <c r="R2270" i="5"/>
  <c r="J2270" i="5"/>
  <c r="I2270" i="5"/>
  <c r="H2270" i="5"/>
  <c r="F2270" i="5"/>
  <c r="X2270" i="5"/>
  <c r="J2187" i="5"/>
  <c r="I2187" i="5"/>
  <c r="H2187" i="5"/>
  <c r="F2187" i="5"/>
  <c r="R2187" i="5"/>
  <c r="X2187" i="5"/>
  <c r="I2155" i="5"/>
  <c r="H2155" i="5"/>
  <c r="F2155" i="5"/>
  <c r="R2155" i="5"/>
  <c r="J2155" i="5"/>
  <c r="X2155" i="5"/>
  <c r="F2206" i="5"/>
  <c r="R2206" i="5"/>
  <c r="J2206" i="5"/>
  <c r="I2206" i="5"/>
  <c r="H2206" i="5"/>
  <c r="X2206" i="5"/>
  <c r="F2198" i="5"/>
  <c r="R2198" i="5"/>
  <c r="J2198" i="5"/>
  <c r="I2198" i="5"/>
  <c r="H2198" i="5"/>
  <c r="X2198" i="5"/>
  <c r="J2179" i="5"/>
  <c r="I2179" i="5"/>
  <c r="H2179" i="5"/>
  <c r="F2179" i="5"/>
  <c r="R2179" i="5"/>
  <c r="X2179" i="5"/>
  <c r="F2066" i="5"/>
  <c r="X2066" i="5"/>
  <c r="R2066" i="5"/>
  <c r="J2066" i="5"/>
  <c r="I2066" i="5"/>
  <c r="H2066" i="5"/>
  <c r="R2176" i="5"/>
  <c r="J2176" i="5"/>
  <c r="I2176" i="5"/>
  <c r="H2176" i="5"/>
  <c r="F2176" i="5"/>
  <c r="X2176" i="5"/>
  <c r="I2063" i="5"/>
  <c r="H2063" i="5"/>
  <c r="F2063" i="5"/>
  <c r="X2063" i="5"/>
  <c r="R2063" i="5"/>
  <c r="J2063" i="5"/>
  <c r="J2115" i="5"/>
  <c r="I2115" i="5"/>
  <c r="H2115" i="5"/>
  <c r="F2115" i="5"/>
  <c r="R2115" i="5"/>
  <c r="X2115" i="5"/>
  <c r="I2171" i="5"/>
  <c r="H2171" i="5"/>
  <c r="F2171" i="5"/>
  <c r="R2171" i="5"/>
  <c r="J2171" i="5"/>
  <c r="X2171" i="5"/>
  <c r="I1926" i="5"/>
  <c r="H1926" i="5"/>
  <c r="F1926" i="5"/>
  <c r="R1926" i="5"/>
  <c r="J1926" i="5"/>
  <c r="X1926" i="5"/>
  <c r="R2038" i="5"/>
  <c r="J2038" i="5"/>
  <c r="I2038" i="5"/>
  <c r="H2038" i="5"/>
  <c r="F2038" i="5"/>
  <c r="X2038" i="5"/>
  <c r="R1974" i="5"/>
  <c r="J1974" i="5"/>
  <c r="I1974" i="5"/>
  <c r="H1974" i="5"/>
  <c r="F1974" i="5"/>
  <c r="X1974" i="5"/>
  <c r="F1852" i="5"/>
  <c r="X1852" i="5"/>
  <c r="J1852" i="5"/>
  <c r="R1852" i="5"/>
  <c r="I1852" i="5"/>
  <c r="H1852" i="5"/>
  <c r="R2018" i="5"/>
  <c r="J2018" i="5"/>
  <c r="I2018" i="5"/>
  <c r="H2018" i="5"/>
  <c r="F2018" i="5"/>
  <c r="X2018" i="5"/>
  <c r="R1998" i="5"/>
  <c r="J1998" i="5"/>
  <c r="I1998" i="5"/>
  <c r="H1998" i="5"/>
  <c r="F1998" i="5"/>
  <c r="X1998" i="5"/>
  <c r="I1845" i="5"/>
  <c r="H1845" i="5"/>
  <c r="F1845" i="5"/>
  <c r="R1845" i="5"/>
  <c r="J1845" i="5"/>
  <c r="X1845" i="5"/>
  <c r="R1978" i="5"/>
  <c r="J1978" i="5"/>
  <c r="I1978" i="5"/>
  <c r="H1978" i="5"/>
  <c r="F1978" i="5"/>
  <c r="X1978" i="5"/>
  <c r="R2046" i="5"/>
  <c r="J2046" i="5"/>
  <c r="I2046" i="5"/>
  <c r="H2046" i="5"/>
  <c r="F2046" i="5"/>
  <c r="X2046" i="5"/>
  <c r="H1783" i="5"/>
  <c r="F1783" i="5"/>
  <c r="X1783" i="5"/>
  <c r="R1783" i="5"/>
  <c r="J1783" i="5"/>
  <c r="I1783" i="5"/>
  <c r="R1826" i="5"/>
  <c r="I1826" i="5"/>
  <c r="H1826" i="5"/>
  <c r="F1826" i="5"/>
  <c r="X1826" i="5"/>
  <c r="J1826" i="5"/>
  <c r="I1833" i="5"/>
  <c r="R1833" i="5"/>
  <c r="J1833" i="5"/>
  <c r="H1833" i="5"/>
  <c r="F1833" i="5"/>
  <c r="X1833" i="5"/>
  <c r="I1914" i="5"/>
  <c r="H1914" i="5"/>
  <c r="F1914" i="5"/>
  <c r="R1914" i="5"/>
  <c r="J1914" i="5"/>
  <c r="X1914" i="5"/>
  <c r="R1737" i="5"/>
  <c r="H1737" i="5"/>
  <c r="F1737" i="5"/>
  <c r="X1737" i="5"/>
  <c r="J1737" i="5"/>
  <c r="I1737" i="5"/>
  <c r="F1550" i="5"/>
  <c r="H1550" i="5"/>
  <c r="X1550" i="5"/>
  <c r="R1550" i="5"/>
  <c r="J1550" i="5"/>
  <c r="I1550" i="5"/>
  <c r="R1747" i="5"/>
  <c r="J1747" i="5"/>
  <c r="I1747" i="5"/>
  <c r="H1747" i="5"/>
  <c r="F1747" i="5"/>
  <c r="X1747" i="5"/>
  <c r="R1671" i="5"/>
  <c r="J1671" i="5"/>
  <c r="I1671" i="5"/>
  <c r="H1671" i="5"/>
  <c r="F1671" i="5"/>
  <c r="X1671" i="5"/>
  <c r="R1552" i="5"/>
  <c r="J1552" i="5"/>
  <c r="H1552" i="5"/>
  <c r="I1552" i="5"/>
  <c r="X1552" i="5"/>
  <c r="F1552" i="5"/>
  <c r="R1667" i="5"/>
  <c r="J1667" i="5"/>
  <c r="I1667" i="5"/>
  <c r="H1667" i="5"/>
  <c r="F1667" i="5"/>
  <c r="X1667" i="5"/>
  <c r="I1825" i="5"/>
  <c r="R1825" i="5"/>
  <c r="J1825" i="5"/>
  <c r="H1825" i="5"/>
  <c r="F1825" i="5"/>
  <c r="X1825" i="5"/>
  <c r="R1655" i="5"/>
  <c r="J1655" i="5"/>
  <c r="I1655" i="5"/>
  <c r="H1655" i="5"/>
  <c r="F1655" i="5"/>
  <c r="X1655" i="5"/>
  <c r="J1413" i="5"/>
  <c r="I1413" i="5"/>
  <c r="H1413" i="5"/>
  <c r="R1413" i="5"/>
  <c r="F1413" i="5"/>
  <c r="X1413" i="5"/>
  <c r="I1615" i="5"/>
  <c r="H1615" i="5"/>
  <c r="F1615" i="5"/>
  <c r="R1615" i="5"/>
  <c r="J1615" i="5"/>
  <c r="X1615" i="5"/>
  <c r="I1583" i="5"/>
  <c r="H1583" i="5"/>
  <c r="F1583" i="5"/>
  <c r="R1583" i="5"/>
  <c r="J1583" i="5"/>
  <c r="X1583" i="5"/>
  <c r="R1346" i="5"/>
  <c r="X1346" i="5"/>
  <c r="I1346" i="5"/>
  <c r="H1346" i="5"/>
  <c r="J1346" i="5"/>
  <c r="F1346" i="5"/>
  <c r="H1476" i="5"/>
  <c r="F1476" i="5"/>
  <c r="X1476" i="5"/>
  <c r="J1476" i="5"/>
  <c r="I1476" i="5"/>
  <c r="R1476" i="5"/>
  <c r="F1394" i="5"/>
  <c r="R1394" i="5"/>
  <c r="I1394" i="5"/>
  <c r="H1394" i="5"/>
  <c r="X1394" i="5"/>
  <c r="J1394" i="5"/>
  <c r="R1604" i="5"/>
  <c r="J1604" i="5"/>
  <c r="I1604" i="5"/>
  <c r="H1604" i="5"/>
  <c r="F1604" i="5"/>
  <c r="X1604" i="5"/>
  <c r="R1687" i="5"/>
  <c r="J1687" i="5"/>
  <c r="I1687" i="5"/>
  <c r="H1687" i="5"/>
  <c r="F1687" i="5"/>
  <c r="X1687" i="5"/>
  <c r="R1392" i="5"/>
  <c r="J1392" i="5"/>
  <c r="F1392" i="5"/>
  <c r="X1392" i="5"/>
  <c r="I1392" i="5"/>
  <c r="H1392" i="5"/>
  <c r="R1584" i="5"/>
  <c r="J1584" i="5"/>
  <c r="I1584" i="5"/>
  <c r="H1584" i="5"/>
  <c r="F1584" i="5"/>
  <c r="X1584" i="5"/>
  <c r="J1445" i="5"/>
  <c r="H1445" i="5"/>
  <c r="I1445" i="5"/>
  <c r="F1445" i="5"/>
  <c r="R1445" i="5"/>
  <c r="X1445" i="5"/>
  <c r="R1592" i="5"/>
  <c r="J1592" i="5"/>
  <c r="I1592" i="5"/>
  <c r="H1592" i="5"/>
  <c r="F1592" i="5"/>
  <c r="X1592" i="5"/>
  <c r="R1517" i="5"/>
  <c r="J1517" i="5"/>
  <c r="H1517" i="5"/>
  <c r="I1517" i="5"/>
  <c r="F1517" i="5"/>
  <c r="X1517" i="5"/>
  <c r="J1244" i="5"/>
  <c r="I1244" i="5"/>
  <c r="R1244" i="5"/>
  <c r="H1244" i="5"/>
  <c r="X1244" i="5"/>
  <c r="F1244" i="5"/>
  <c r="J1477" i="5"/>
  <c r="H1477" i="5"/>
  <c r="I1477" i="5"/>
  <c r="F1477" i="5"/>
  <c r="R1477" i="5"/>
  <c r="X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X1366" i="5"/>
  <c r="H1016" i="5"/>
  <c r="F1016" i="5"/>
  <c r="X1016" i="5"/>
  <c r="R1016" i="5"/>
  <c r="I1016" i="5"/>
  <c r="J1016" i="5"/>
  <c r="R1137" i="5"/>
  <c r="J1137" i="5"/>
  <c r="I1137" i="5"/>
  <c r="H1137" i="5"/>
  <c r="X1137" i="5"/>
  <c r="F1137" i="5"/>
  <c r="F1162" i="5"/>
  <c r="X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X1238" i="5"/>
  <c r="R1238" i="5"/>
  <c r="J1238" i="5"/>
  <c r="H1238" i="5"/>
  <c r="I1238" i="5"/>
  <c r="H988" i="5"/>
  <c r="F988" i="5"/>
  <c r="X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X914" i="5"/>
  <c r="R870" i="5"/>
  <c r="I870" i="5"/>
  <c r="J870" i="5"/>
  <c r="H870" i="5"/>
  <c r="X870" i="5"/>
  <c r="F870" i="5"/>
  <c r="X863" i="5"/>
  <c r="R863" i="5"/>
  <c r="I863" i="5"/>
  <c r="H863" i="5"/>
  <c r="F863" i="5"/>
  <c r="J863" i="5"/>
  <c r="J1049" i="5"/>
  <c r="I1049" i="5"/>
  <c r="H1049" i="5"/>
  <c r="X1049" i="5"/>
  <c r="R1049" i="5"/>
  <c r="F1049" i="5"/>
  <c r="I669" i="5"/>
  <c r="H669" i="5"/>
  <c r="F669" i="5"/>
  <c r="X669" i="5"/>
  <c r="R669" i="5"/>
  <c r="J669" i="5"/>
  <c r="I637" i="5"/>
  <c r="H637" i="5"/>
  <c r="F637" i="5"/>
  <c r="X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D74" i="4"/>
  <c r="D37" i="4"/>
  <c r="D61" i="4"/>
  <c r="D43" i="4"/>
  <c r="D49" i="4"/>
  <c r="D31" i="4"/>
  <c r="D67" i="4"/>
  <c r="D55" i="4"/>
  <c r="A17" i="6"/>
  <c r="B35" i="4"/>
  <c r="A22" i="6"/>
  <c r="B46" i="6"/>
  <c r="G46" i="6"/>
  <c r="B26" i="6"/>
  <c r="G26" i="6"/>
  <c r="G21" i="6"/>
  <c r="H21" i="6"/>
  <c r="B36" i="6"/>
  <c r="G36" i="6"/>
  <c r="G20" i="6"/>
  <c r="H20" i="6"/>
  <c r="B45" i="6"/>
  <c r="G45" i="6"/>
  <c r="D17" i="6"/>
  <c r="C17" i="6"/>
  <c r="H2439" i="5"/>
  <c r="F2439" i="5"/>
  <c r="X2439" i="5"/>
  <c r="R2439" i="5"/>
  <c r="J2439" i="5"/>
  <c r="I2439" i="5"/>
  <c r="F2414" i="5"/>
  <c r="X2414" i="5"/>
  <c r="R2414" i="5"/>
  <c r="J2414" i="5"/>
  <c r="I2414" i="5"/>
  <c r="H2414" i="5"/>
  <c r="J2448" i="5"/>
  <c r="F2448" i="5"/>
  <c r="X2448" i="5"/>
  <c r="I2448" i="5"/>
  <c r="H2448" i="5"/>
  <c r="R2448" i="5"/>
  <c r="B27" i="6"/>
  <c r="G27" i="6"/>
  <c r="I2427" i="5"/>
  <c r="H2427" i="5"/>
  <c r="F2427" i="5"/>
  <c r="X2427" i="5"/>
  <c r="R2427" i="5"/>
  <c r="J2427" i="5"/>
  <c r="J2378" i="5"/>
  <c r="H2378" i="5"/>
  <c r="F2378" i="5"/>
  <c r="X2378" i="5"/>
  <c r="R2378" i="5"/>
  <c r="I2378" i="5"/>
  <c r="F2287" i="5"/>
  <c r="R2287" i="5"/>
  <c r="I2287" i="5"/>
  <c r="J2287" i="5"/>
  <c r="H2287" i="5"/>
  <c r="X2287" i="5"/>
  <c r="J2192" i="5"/>
  <c r="X2192" i="5"/>
  <c r="R2192" i="5"/>
  <c r="I2192" i="5"/>
  <c r="H2192" i="5"/>
  <c r="F2192" i="5"/>
  <c r="I2135" i="5"/>
  <c r="H2135" i="5"/>
  <c r="F2135" i="5"/>
  <c r="R2135" i="5"/>
  <c r="X2135" i="5"/>
  <c r="J2135" i="5"/>
  <c r="H2266" i="5"/>
  <c r="F2266" i="5"/>
  <c r="X2266" i="5"/>
  <c r="R2266" i="5"/>
  <c r="J2266" i="5"/>
  <c r="I2266" i="5"/>
  <c r="F2222" i="5"/>
  <c r="R2222" i="5"/>
  <c r="J2222" i="5"/>
  <c r="I2222" i="5"/>
  <c r="H2222" i="5"/>
  <c r="X2222" i="5"/>
  <c r="R2172" i="5"/>
  <c r="J2172" i="5"/>
  <c r="I2172" i="5"/>
  <c r="H2172" i="5"/>
  <c r="F2172" i="5"/>
  <c r="X2172" i="5"/>
  <c r="H2114" i="5"/>
  <c r="F2114" i="5"/>
  <c r="X2114" i="5"/>
  <c r="J2114" i="5"/>
  <c r="I2114" i="5"/>
  <c r="R2114" i="5"/>
  <c r="F2098" i="5"/>
  <c r="X2098" i="5"/>
  <c r="I2098" i="5"/>
  <c r="H2098" i="5"/>
  <c r="R2098" i="5"/>
  <c r="J2098" i="5"/>
  <c r="I2151" i="5"/>
  <c r="H2151" i="5"/>
  <c r="F2151" i="5"/>
  <c r="R2151" i="5"/>
  <c r="J2151" i="5"/>
  <c r="X2151" i="5"/>
  <c r="H2238" i="5"/>
  <c r="F2238" i="5"/>
  <c r="X2238" i="5"/>
  <c r="R2238" i="5"/>
  <c r="J2238" i="5"/>
  <c r="I2238" i="5"/>
  <c r="F2086" i="5"/>
  <c r="X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X2078" i="5"/>
  <c r="F2070" i="5"/>
  <c r="R2070" i="5"/>
  <c r="J2070" i="5"/>
  <c r="I2070" i="5"/>
  <c r="H2070" i="5"/>
  <c r="X2070" i="5"/>
  <c r="F2062" i="5"/>
  <c r="R2062" i="5"/>
  <c r="J2062" i="5"/>
  <c r="I2062" i="5"/>
  <c r="H2062" i="5"/>
  <c r="X2062" i="5"/>
  <c r="F2054" i="5"/>
  <c r="R2054" i="5"/>
  <c r="J2054" i="5"/>
  <c r="I2054" i="5"/>
  <c r="H2054" i="5"/>
  <c r="X2054" i="5"/>
  <c r="R2026" i="5"/>
  <c r="J2026" i="5"/>
  <c r="I2026" i="5"/>
  <c r="H2026" i="5"/>
  <c r="F2026" i="5"/>
  <c r="X2026" i="5"/>
  <c r="F1872" i="5"/>
  <c r="X1872" i="5"/>
  <c r="R1872" i="5"/>
  <c r="J1872" i="5"/>
  <c r="I1872" i="5"/>
  <c r="H1872" i="5"/>
  <c r="I1934" i="5"/>
  <c r="H1934" i="5"/>
  <c r="F1934" i="5"/>
  <c r="J1934" i="5"/>
  <c r="X1934" i="5"/>
  <c r="R1934" i="5"/>
  <c r="R1966" i="5"/>
  <c r="J1966" i="5"/>
  <c r="I1966" i="5"/>
  <c r="H1966" i="5"/>
  <c r="F1966" i="5"/>
  <c r="X1966" i="5"/>
  <c r="I1861" i="5"/>
  <c r="H1861" i="5"/>
  <c r="F1861" i="5"/>
  <c r="X1861" i="5"/>
  <c r="R1861" i="5"/>
  <c r="J1861" i="5"/>
  <c r="J2263" i="5"/>
  <c r="I2263" i="5"/>
  <c r="H2263" i="5"/>
  <c r="X2263" i="5"/>
  <c r="R2263" i="5"/>
  <c r="F2263" i="5"/>
  <c r="R2034" i="5"/>
  <c r="J2034" i="5"/>
  <c r="I2034" i="5"/>
  <c r="H2034" i="5"/>
  <c r="F2034" i="5"/>
  <c r="X2034" i="5"/>
  <c r="X1819" i="5"/>
  <c r="R1819" i="5"/>
  <c r="F1819" i="5"/>
  <c r="J1819" i="5"/>
  <c r="I1819" i="5"/>
  <c r="H1819" i="5"/>
  <c r="H1803" i="5"/>
  <c r="F1803" i="5"/>
  <c r="X1803" i="5"/>
  <c r="R1803" i="5"/>
  <c r="J1803" i="5"/>
  <c r="I1803" i="5"/>
  <c r="H1771" i="5"/>
  <c r="F1771" i="5"/>
  <c r="X1771" i="5"/>
  <c r="R1771" i="5"/>
  <c r="J1771" i="5"/>
  <c r="I1771" i="5"/>
  <c r="F2082" i="5"/>
  <c r="X2082" i="5"/>
  <c r="R2082" i="5"/>
  <c r="J2082" i="5"/>
  <c r="I2082" i="5"/>
  <c r="H2082" i="5"/>
  <c r="X1880" i="5"/>
  <c r="J1880" i="5"/>
  <c r="R1880" i="5"/>
  <c r="I1880" i="5"/>
  <c r="H1880" i="5"/>
  <c r="F1880" i="5"/>
  <c r="H1763" i="5"/>
  <c r="F1763" i="5"/>
  <c r="X1763" i="5"/>
  <c r="R1763" i="5"/>
  <c r="I1763" i="5"/>
  <c r="J1763" i="5"/>
  <c r="R1745" i="5"/>
  <c r="H1745" i="5"/>
  <c r="F1745" i="5"/>
  <c r="X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X1846" i="5"/>
  <c r="X1742" i="5"/>
  <c r="I1742" i="5"/>
  <c r="J1742" i="5"/>
  <c r="H1742" i="5"/>
  <c r="F1742" i="5"/>
  <c r="R1742" i="5"/>
  <c r="R1624" i="5"/>
  <c r="J1624" i="5"/>
  <c r="I1624" i="5"/>
  <c r="H1624" i="5"/>
  <c r="F1624" i="5"/>
  <c r="X1624" i="5"/>
  <c r="R1699" i="5"/>
  <c r="J1699" i="5"/>
  <c r="I1699" i="5"/>
  <c r="H1699" i="5"/>
  <c r="F1699" i="5"/>
  <c r="X1699" i="5"/>
  <c r="R1663" i="5"/>
  <c r="J1663" i="5"/>
  <c r="I1663" i="5"/>
  <c r="H1663" i="5"/>
  <c r="F1663" i="5"/>
  <c r="X1663" i="5"/>
  <c r="R1691" i="5"/>
  <c r="J1691" i="5"/>
  <c r="I1691" i="5"/>
  <c r="H1691" i="5"/>
  <c r="F1691" i="5"/>
  <c r="X1691" i="5"/>
  <c r="R1548" i="5"/>
  <c r="J1548" i="5"/>
  <c r="H1548" i="5"/>
  <c r="I1548" i="5"/>
  <c r="F1548" i="5"/>
  <c r="X1548" i="5"/>
  <c r="I1611" i="5"/>
  <c r="H1611" i="5"/>
  <c r="F1611" i="5"/>
  <c r="R1611" i="5"/>
  <c r="J1611" i="5"/>
  <c r="X1611" i="5"/>
  <c r="I1579" i="5"/>
  <c r="H1579" i="5"/>
  <c r="F1579" i="5"/>
  <c r="R1579" i="5"/>
  <c r="J1579" i="5"/>
  <c r="X1579" i="5"/>
  <c r="R1338" i="5"/>
  <c r="H1338" i="5"/>
  <c r="F1338" i="5"/>
  <c r="X1338" i="5"/>
  <c r="J1338" i="5"/>
  <c r="I1338" i="5"/>
  <c r="R1572" i="5"/>
  <c r="J1572" i="5"/>
  <c r="I1572" i="5"/>
  <c r="H1572" i="5"/>
  <c r="F1572" i="5"/>
  <c r="X1572" i="5"/>
  <c r="R1360" i="5"/>
  <c r="J1360" i="5"/>
  <c r="H1360" i="5"/>
  <c r="F1360" i="5"/>
  <c r="I1360" i="5"/>
  <c r="X1360" i="5"/>
  <c r="F1399" i="5"/>
  <c r="R1399" i="5"/>
  <c r="J1399" i="5"/>
  <c r="I1399" i="5"/>
  <c r="X1399" i="5"/>
  <c r="H1399" i="5"/>
  <c r="I1528" i="5"/>
  <c r="H1528" i="5"/>
  <c r="F1528" i="5"/>
  <c r="X1528" i="5"/>
  <c r="R1528" i="5"/>
  <c r="J1528" i="5"/>
  <c r="X1134" i="5"/>
  <c r="H1134" i="5"/>
  <c r="F1134" i="5"/>
  <c r="R1134" i="5"/>
  <c r="I1134" i="5"/>
  <c r="J1134" i="5"/>
  <c r="J1627" i="5"/>
  <c r="I1627" i="5"/>
  <c r="H1627" i="5"/>
  <c r="F1627" i="5"/>
  <c r="X1627" i="5"/>
  <c r="R1627" i="5"/>
  <c r="R1560" i="5"/>
  <c r="J1560" i="5"/>
  <c r="I1560" i="5"/>
  <c r="H1560" i="5"/>
  <c r="F1560" i="5"/>
  <c r="X1560" i="5"/>
  <c r="H1207" i="5"/>
  <c r="R1207" i="5"/>
  <c r="J1207" i="5"/>
  <c r="I1207" i="5"/>
  <c r="F1207" i="5"/>
  <c r="X1207" i="5"/>
  <c r="H1108" i="5"/>
  <c r="F1108" i="5"/>
  <c r="X1108" i="5"/>
  <c r="R1108" i="5"/>
  <c r="I1108" i="5"/>
  <c r="J1108" i="5"/>
  <c r="H1044" i="5"/>
  <c r="F1044" i="5"/>
  <c r="X1044" i="5"/>
  <c r="R1044" i="5"/>
  <c r="I1044" i="5"/>
  <c r="J1044" i="5"/>
  <c r="F1398" i="5"/>
  <c r="R1398" i="5"/>
  <c r="J1398" i="5"/>
  <c r="I1398" i="5"/>
  <c r="H1398" i="5"/>
  <c r="X1398" i="5"/>
  <c r="R1368" i="5"/>
  <c r="J1368" i="5"/>
  <c r="H1368" i="5"/>
  <c r="F1368" i="5"/>
  <c r="X1368" i="5"/>
  <c r="I1368" i="5"/>
  <c r="I1323" i="5"/>
  <c r="H1323" i="5"/>
  <c r="R1323" i="5"/>
  <c r="J1323" i="5"/>
  <c r="F1323" i="5"/>
  <c r="X1323" i="5"/>
  <c r="I1291" i="5"/>
  <c r="H1291" i="5"/>
  <c r="R1291" i="5"/>
  <c r="J1291" i="5"/>
  <c r="F1291" i="5"/>
  <c r="X1291" i="5"/>
  <c r="I1259" i="5"/>
  <c r="H1259" i="5"/>
  <c r="R1259" i="5"/>
  <c r="J1259" i="5"/>
  <c r="F1259" i="5"/>
  <c r="X1259" i="5"/>
  <c r="F1350" i="5"/>
  <c r="R1350" i="5"/>
  <c r="J1350" i="5"/>
  <c r="I1350" i="5"/>
  <c r="H1350" i="5"/>
  <c r="X1350" i="5"/>
  <c r="F1330" i="5"/>
  <c r="X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H1012" i="5"/>
  <c r="F1012" i="5"/>
  <c r="X1012" i="5"/>
  <c r="R1012" i="5"/>
  <c r="J1012" i="5"/>
  <c r="I1012" i="5"/>
  <c r="H1231" i="5"/>
  <c r="R1231" i="5"/>
  <c r="J1231" i="5"/>
  <c r="F1231" i="5"/>
  <c r="X1231" i="5"/>
  <c r="I1231" i="5"/>
  <c r="X911" i="5"/>
  <c r="R911" i="5"/>
  <c r="I911" i="5"/>
  <c r="H911" i="5"/>
  <c r="F911" i="5"/>
  <c r="J911" i="5"/>
  <c r="X900" i="5"/>
  <c r="R900" i="5"/>
  <c r="I900" i="5"/>
  <c r="F900" i="5"/>
  <c r="J900" i="5"/>
  <c r="H900" i="5"/>
  <c r="H1004" i="5"/>
  <c r="F1004" i="5"/>
  <c r="X1004" i="5"/>
  <c r="R1004" i="5"/>
  <c r="J1004" i="5"/>
  <c r="I1004" i="5"/>
  <c r="X895" i="5"/>
  <c r="R895" i="5"/>
  <c r="I895" i="5"/>
  <c r="H895" i="5"/>
  <c r="F895" i="5"/>
  <c r="J895" i="5"/>
  <c r="J1033" i="5"/>
  <c r="I1033" i="5"/>
  <c r="H1033" i="5"/>
  <c r="X1033" i="5"/>
  <c r="R1033" i="5"/>
  <c r="F1033" i="5"/>
  <c r="J1081" i="5"/>
  <c r="I1081" i="5"/>
  <c r="H1081" i="5"/>
  <c r="X1081" i="5"/>
  <c r="R1081" i="5"/>
  <c r="F1081" i="5"/>
  <c r="X912" i="5"/>
  <c r="R912" i="5"/>
  <c r="J912" i="5"/>
  <c r="I912" i="5"/>
  <c r="F912" i="5"/>
  <c r="H912" i="5"/>
  <c r="R858" i="5"/>
  <c r="I858" i="5"/>
  <c r="H858" i="5"/>
  <c r="X858" i="5"/>
  <c r="J858" i="5"/>
  <c r="F858" i="5"/>
  <c r="J823" i="5"/>
  <c r="I823" i="5"/>
  <c r="X823" i="5"/>
  <c r="F823" i="5"/>
  <c r="R823" i="5"/>
  <c r="H823" i="5"/>
  <c r="X868" i="5"/>
  <c r="R868" i="5"/>
  <c r="I868" i="5"/>
  <c r="F868" i="5"/>
  <c r="J868" i="5"/>
  <c r="H868" i="5"/>
  <c r="X907" i="5"/>
  <c r="R907" i="5"/>
  <c r="I907" i="5"/>
  <c r="J907" i="5"/>
  <c r="H907" i="5"/>
  <c r="F907" i="5"/>
  <c r="J695" i="5"/>
  <c r="I695" i="5"/>
  <c r="X695" i="5"/>
  <c r="F695" i="5"/>
  <c r="R695" i="5"/>
  <c r="H695" i="5"/>
  <c r="I665" i="5"/>
  <c r="H665" i="5"/>
  <c r="F665" i="5"/>
  <c r="X665" i="5"/>
  <c r="R665" i="5"/>
  <c r="J665" i="5"/>
  <c r="I633" i="5"/>
  <c r="H633" i="5"/>
  <c r="F633" i="5"/>
  <c r="X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G61" i="4"/>
  <c r="G31" i="4"/>
  <c r="G49" i="4"/>
  <c r="G43" i="4"/>
  <c r="G37" i="4"/>
  <c r="G67" i="4"/>
  <c r="G74" i="4"/>
  <c r="G55" i="4"/>
  <c r="F2422" i="5"/>
  <c r="X2422" i="5"/>
  <c r="R2422" i="5"/>
  <c r="I2422" i="5"/>
  <c r="H2422" i="5"/>
  <c r="J2422" i="5"/>
  <c r="R2396" i="5"/>
  <c r="J2396" i="5"/>
  <c r="I2396" i="5"/>
  <c r="F2396" i="5"/>
  <c r="X2396" i="5"/>
  <c r="H2396" i="5"/>
  <c r="H2331" i="5"/>
  <c r="F2331" i="5"/>
  <c r="X2331" i="5"/>
  <c r="R2331" i="5"/>
  <c r="I2331" i="5"/>
  <c r="J2331" i="5"/>
  <c r="H2327" i="5"/>
  <c r="F2327" i="5"/>
  <c r="X2327" i="5"/>
  <c r="I2327" i="5"/>
  <c r="R2327" i="5"/>
  <c r="J2327" i="5"/>
  <c r="I2292" i="5"/>
  <c r="J2292" i="5"/>
  <c r="H2292" i="5"/>
  <c r="F2292" i="5"/>
  <c r="X2292" i="5"/>
  <c r="R2292" i="5"/>
  <c r="X2290" i="5"/>
  <c r="R2290" i="5"/>
  <c r="I2290" i="5"/>
  <c r="J2290" i="5"/>
  <c r="H2290" i="5"/>
  <c r="F2290" i="5"/>
  <c r="H2123" i="5"/>
  <c r="F2123" i="5"/>
  <c r="X2123" i="5"/>
  <c r="R2123" i="5"/>
  <c r="J2123" i="5"/>
  <c r="I2123" i="5"/>
  <c r="R2281" i="5"/>
  <c r="I2281" i="5"/>
  <c r="H2281" i="5"/>
  <c r="F2281" i="5"/>
  <c r="X2281" i="5"/>
  <c r="J2281" i="5"/>
  <c r="I2099" i="5"/>
  <c r="H2099" i="5"/>
  <c r="F2099" i="5"/>
  <c r="R2099" i="5"/>
  <c r="J2099" i="5"/>
  <c r="X2099" i="5"/>
  <c r="R1958" i="5"/>
  <c r="J1958" i="5"/>
  <c r="I1958" i="5"/>
  <c r="H1958" i="5"/>
  <c r="F1958" i="5"/>
  <c r="X1958" i="5"/>
  <c r="I1837" i="5"/>
  <c r="F1837" i="5"/>
  <c r="X1837" i="5"/>
  <c r="R1837" i="5"/>
  <c r="J1837" i="5"/>
  <c r="H1837" i="5"/>
  <c r="R1970" i="5"/>
  <c r="J1970" i="5"/>
  <c r="I1970" i="5"/>
  <c r="H1970" i="5"/>
  <c r="F1970" i="5"/>
  <c r="X1970" i="5"/>
  <c r="X1888" i="5"/>
  <c r="J1888" i="5"/>
  <c r="R1888" i="5"/>
  <c r="I1888" i="5"/>
  <c r="H1888" i="5"/>
  <c r="F1888" i="5"/>
  <c r="J1796" i="5"/>
  <c r="I1796" i="5"/>
  <c r="H1796" i="5"/>
  <c r="F1796" i="5"/>
  <c r="X1796" i="5"/>
  <c r="R1796" i="5"/>
  <c r="J1788" i="5"/>
  <c r="I1788" i="5"/>
  <c r="H1788" i="5"/>
  <c r="F1788" i="5"/>
  <c r="X1788" i="5"/>
  <c r="R1788" i="5"/>
  <c r="J1780" i="5"/>
  <c r="I1780" i="5"/>
  <c r="H1780" i="5"/>
  <c r="F1780" i="5"/>
  <c r="X1780" i="5"/>
  <c r="R1780" i="5"/>
  <c r="I1726" i="5"/>
  <c r="H1726" i="5"/>
  <c r="F1726" i="5"/>
  <c r="X1726" i="5"/>
  <c r="J1726" i="5"/>
  <c r="R1726" i="5"/>
  <c r="I1694" i="5"/>
  <c r="H1694" i="5"/>
  <c r="F1694" i="5"/>
  <c r="X1694" i="5"/>
  <c r="J1694" i="5"/>
  <c r="R1694" i="5"/>
  <c r="I1646" i="5"/>
  <c r="H1646" i="5"/>
  <c r="F1646" i="5"/>
  <c r="X1646" i="5"/>
  <c r="R1646" i="5"/>
  <c r="J1646" i="5"/>
  <c r="F1614" i="5"/>
  <c r="X1614" i="5"/>
  <c r="R1614" i="5"/>
  <c r="J1614" i="5"/>
  <c r="I1614" i="5"/>
  <c r="H1614" i="5"/>
  <c r="F1582" i="5"/>
  <c r="X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X1485"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X1461" i="5"/>
  <c r="H1235" i="5"/>
  <c r="F1235" i="5"/>
  <c r="X1235" i="5"/>
  <c r="R1235" i="5"/>
  <c r="J1235" i="5"/>
  <c r="I1235" i="5"/>
  <c r="H1171" i="5"/>
  <c r="F1171" i="5"/>
  <c r="X1171" i="5"/>
  <c r="R1171" i="5"/>
  <c r="J1171" i="5"/>
  <c r="I1171" i="5"/>
  <c r="R1501" i="5"/>
  <c r="J1501" i="5"/>
  <c r="H1501" i="5"/>
  <c r="I1501" i="5"/>
  <c r="F1501" i="5"/>
  <c r="X1501" i="5"/>
  <c r="F1386" i="5"/>
  <c r="R1386" i="5"/>
  <c r="J1386" i="5"/>
  <c r="I1386" i="5"/>
  <c r="H1386" i="5"/>
  <c r="X1386" i="5"/>
  <c r="R1596" i="5"/>
  <c r="J1596" i="5"/>
  <c r="I1596" i="5"/>
  <c r="H1596" i="5"/>
  <c r="F1596" i="5"/>
  <c r="X1596" i="5"/>
  <c r="F1174" i="5"/>
  <c r="X1174" i="5"/>
  <c r="R1174" i="5"/>
  <c r="J1174" i="5"/>
  <c r="H1174" i="5"/>
  <c r="I1174" i="5"/>
  <c r="H1092" i="5"/>
  <c r="F1092" i="5"/>
  <c r="X1092" i="5"/>
  <c r="R1092" i="5"/>
  <c r="I1092" i="5"/>
  <c r="J1092" i="5"/>
  <c r="H1028" i="5"/>
  <c r="F1028" i="5"/>
  <c r="X1028" i="5"/>
  <c r="R1028" i="5"/>
  <c r="J1028" i="5"/>
  <c r="I1028"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X1267" i="5"/>
  <c r="F1202" i="5"/>
  <c r="X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X927" i="5"/>
  <c r="R927" i="5"/>
  <c r="I927" i="5"/>
  <c r="H927" i="5"/>
  <c r="F927" i="5"/>
  <c r="J927" i="5"/>
  <c r="H1195" i="5"/>
  <c r="J1195" i="5"/>
  <c r="I1195" i="5"/>
  <c r="F1195" i="5"/>
  <c r="X1195" i="5"/>
  <c r="R1195" i="5"/>
  <c r="F972" i="5"/>
  <c r="X972" i="5"/>
  <c r="R972" i="5"/>
  <c r="J972" i="5"/>
  <c r="I972" i="5"/>
  <c r="H972" i="5"/>
  <c r="R930" i="5"/>
  <c r="I930" i="5"/>
  <c r="J930" i="5"/>
  <c r="H930" i="5"/>
  <c r="F930" i="5"/>
  <c r="X930" i="5"/>
  <c r="J985" i="5"/>
  <c r="I985" i="5"/>
  <c r="H985" i="5"/>
  <c r="X985" i="5"/>
  <c r="R985" i="5"/>
  <c r="F985" i="5"/>
  <c r="F837" i="5"/>
  <c r="X837" i="5"/>
  <c r="R837" i="5"/>
  <c r="I837" i="5"/>
  <c r="J837" i="5"/>
  <c r="H837" i="5"/>
  <c r="I657" i="5"/>
  <c r="H657" i="5"/>
  <c r="F657" i="5"/>
  <c r="X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I611" i="5"/>
  <c r="H611" i="5"/>
  <c r="F611" i="5"/>
  <c r="I502" i="5"/>
  <c r="H502" i="5"/>
  <c r="F502" i="5"/>
  <c r="R502" i="5"/>
  <c r="J502" i="5"/>
  <c r="F2418" i="5"/>
  <c r="X2418" i="5"/>
  <c r="R2418" i="5"/>
  <c r="J2418" i="5"/>
  <c r="I2418" i="5"/>
  <c r="H2418" i="5"/>
  <c r="J2468" i="5"/>
  <c r="I2468" i="5"/>
  <c r="R2468" i="5"/>
  <c r="H2468" i="5"/>
  <c r="F2468" i="5"/>
  <c r="X2468" i="5"/>
  <c r="I2407" i="5"/>
  <c r="H2407" i="5"/>
  <c r="F2407" i="5"/>
  <c r="J2407" i="5"/>
  <c r="X2407" i="5"/>
  <c r="R2407" i="5"/>
  <c r="I2431" i="5"/>
  <c r="H2431" i="5"/>
  <c r="F2431" i="5"/>
  <c r="X2431" i="5"/>
  <c r="J2431" i="5"/>
  <c r="R2431" i="5"/>
  <c r="H2347" i="5"/>
  <c r="F2347" i="5"/>
  <c r="X2347" i="5"/>
  <c r="R2347" i="5"/>
  <c r="J2347" i="5"/>
  <c r="I2347" i="5"/>
  <c r="I2111" i="5"/>
  <c r="H2111" i="5"/>
  <c r="F2111" i="5"/>
  <c r="R2111" i="5"/>
  <c r="J2111" i="5"/>
  <c r="X2111" i="5"/>
  <c r="X1738" i="5"/>
  <c r="I1738" i="5"/>
  <c r="R1738" i="5"/>
  <c r="J1738" i="5"/>
  <c r="H1738" i="5"/>
  <c r="F1738" i="5"/>
  <c r="R1711" i="5"/>
  <c r="J1711" i="5"/>
  <c r="I1711" i="5"/>
  <c r="H1711" i="5"/>
  <c r="F1711" i="5"/>
  <c r="X1711" i="5"/>
  <c r="R1675" i="5"/>
  <c r="J1675" i="5"/>
  <c r="I1675" i="5"/>
  <c r="H1675" i="5"/>
  <c r="F1675" i="5"/>
  <c r="X1675" i="5"/>
  <c r="J1401" i="5"/>
  <c r="I1401" i="5"/>
  <c r="R1401" i="5"/>
  <c r="H1401" i="5"/>
  <c r="F1401" i="5"/>
  <c r="X1401" i="5"/>
  <c r="I1295" i="5"/>
  <c r="H1295" i="5"/>
  <c r="R1295" i="5"/>
  <c r="J1295" i="5"/>
  <c r="F1295" i="5"/>
  <c r="X1295" i="5"/>
  <c r="F964" i="5"/>
  <c r="X964" i="5"/>
  <c r="R964" i="5"/>
  <c r="I964" i="5"/>
  <c r="H964" i="5"/>
  <c r="J964" i="5"/>
  <c r="F960" i="5"/>
  <c r="X960" i="5"/>
  <c r="R960" i="5"/>
  <c r="H960" i="5"/>
  <c r="J960" i="5"/>
  <c r="I960" i="5"/>
  <c r="X884"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A25" i="6"/>
  <c r="B57" i="4"/>
  <c r="A40" i="6"/>
  <c r="B51" i="4"/>
  <c r="A35" i="6"/>
  <c r="B69" i="4"/>
  <c r="A50" i="6"/>
  <c r="B63" i="4"/>
  <c r="A45" i="6"/>
  <c r="F67" i="6"/>
  <c r="F31" i="6"/>
  <c r="F46" i="6"/>
  <c r="F41" i="6"/>
  <c r="H41" i="6"/>
  <c r="D41" i="6"/>
  <c r="F36" i="6"/>
  <c r="H36" i="6"/>
  <c r="D36" i="6"/>
  <c r="F51" i="6"/>
  <c r="H51" i="6"/>
  <c r="D51" i="6"/>
  <c r="J2479" i="5"/>
  <c r="I2479" i="5"/>
  <c r="X2479" i="5"/>
  <c r="R2479" i="5"/>
  <c r="H2479" i="5"/>
  <c r="F2479" i="5"/>
  <c r="F45" i="6"/>
  <c r="H45" i="6"/>
  <c r="D45" i="6"/>
  <c r="F66" i="6"/>
  <c r="F50" i="6"/>
  <c r="H50" i="6"/>
  <c r="D50" i="6"/>
  <c r="F30" i="6"/>
  <c r="H25" i="6"/>
  <c r="F35" i="6"/>
  <c r="F40" i="6"/>
  <c r="F2410" i="5"/>
  <c r="X2410" i="5"/>
  <c r="R2410" i="5"/>
  <c r="J2410" i="5"/>
  <c r="I2410" i="5"/>
  <c r="H2410" i="5"/>
  <c r="J2491" i="5"/>
  <c r="I2491" i="5"/>
  <c r="H2491" i="5"/>
  <c r="F2491" i="5"/>
  <c r="X2491" i="5"/>
  <c r="R2491" i="5"/>
  <c r="I2403" i="5"/>
  <c r="H2403" i="5"/>
  <c r="F2403" i="5"/>
  <c r="R2403" i="5"/>
  <c r="J2403" i="5"/>
  <c r="X2403" i="5"/>
  <c r="H2387" i="5"/>
  <c r="I2387" i="5"/>
  <c r="F2387" i="5"/>
  <c r="R2387" i="5"/>
  <c r="J2387" i="5"/>
  <c r="X2387" i="5"/>
  <c r="R2404" i="5"/>
  <c r="J2404" i="5"/>
  <c r="I2404" i="5"/>
  <c r="H2404" i="5"/>
  <c r="F2404" i="5"/>
  <c r="X2404" i="5"/>
  <c r="F2398" i="5"/>
  <c r="X2398" i="5"/>
  <c r="R2398" i="5"/>
  <c r="J2398" i="5"/>
  <c r="I2398" i="5"/>
  <c r="H2398" i="5"/>
  <c r="J2370" i="5"/>
  <c r="H2370" i="5"/>
  <c r="F2370" i="5"/>
  <c r="X2370" i="5"/>
  <c r="R2370" i="5"/>
  <c r="I2370" i="5"/>
  <c r="F2470" i="5"/>
  <c r="X2470" i="5"/>
  <c r="R2470" i="5"/>
  <c r="J2470" i="5"/>
  <c r="I2470" i="5"/>
  <c r="H2470" i="5"/>
  <c r="H2339" i="5"/>
  <c r="F2339" i="5"/>
  <c r="X2339" i="5"/>
  <c r="R2339" i="5"/>
  <c r="J2339" i="5"/>
  <c r="I2339" i="5"/>
  <c r="F2315" i="5"/>
  <c r="X2315" i="5"/>
  <c r="R2315" i="5"/>
  <c r="H2315" i="5"/>
  <c r="I2315" i="5"/>
  <c r="J2315" i="5"/>
  <c r="R2424" i="5"/>
  <c r="J2424" i="5"/>
  <c r="I2424" i="5"/>
  <c r="H2424" i="5"/>
  <c r="F2424" i="5"/>
  <c r="X2424" i="5"/>
  <c r="J2344" i="5"/>
  <c r="I2344" i="5"/>
  <c r="H2344" i="5"/>
  <c r="X2344" i="5"/>
  <c r="F2344" i="5"/>
  <c r="R2344" i="5"/>
  <c r="I2276" i="5"/>
  <c r="H2276" i="5"/>
  <c r="R2276" i="5"/>
  <c r="J2276" i="5"/>
  <c r="F2276" i="5"/>
  <c r="X2276" i="5"/>
  <c r="H2262" i="5"/>
  <c r="F2262" i="5"/>
  <c r="X2262" i="5"/>
  <c r="R2262" i="5"/>
  <c r="J2262" i="5"/>
  <c r="I2262" i="5"/>
  <c r="I2131" i="5"/>
  <c r="H2131" i="5"/>
  <c r="F2131" i="5"/>
  <c r="X2131" i="5"/>
  <c r="R2131" i="5"/>
  <c r="J2131" i="5"/>
  <c r="H2119" i="5"/>
  <c r="X2119" i="5"/>
  <c r="R2119" i="5"/>
  <c r="J2119" i="5"/>
  <c r="I2119" i="5"/>
  <c r="F2119" i="5"/>
  <c r="R2136" i="5"/>
  <c r="J2136" i="5"/>
  <c r="I2136" i="5"/>
  <c r="H2136" i="5"/>
  <c r="X2136" i="5"/>
  <c r="F2136" i="5"/>
  <c r="F2050" i="5"/>
  <c r="X2050" i="5"/>
  <c r="R2050" i="5"/>
  <c r="J2050" i="5"/>
  <c r="I2050" i="5"/>
  <c r="H2050" i="5"/>
  <c r="H2219" i="5"/>
  <c r="X2219" i="5"/>
  <c r="R2219" i="5"/>
  <c r="J2219" i="5"/>
  <c r="I2219" i="5"/>
  <c r="F2219" i="5"/>
  <c r="I2103" i="5"/>
  <c r="H2103" i="5"/>
  <c r="F2103" i="5"/>
  <c r="R2103" i="5"/>
  <c r="J2103" i="5"/>
  <c r="X2103" i="5"/>
  <c r="R2076" i="5"/>
  <c r="J2076" i="5"/>
  <c r="H2076" i="5"/>
  <c r="F2076" i="5"/>
  <c r="X2076" i="5"/>
  <c r="I2076" i="5"/>
  <c r="R2148" i="5"/>
  <c r="J2148" i="5"/>
  <c r="I2148" i="5"/>
  <c r="H2148" i="5"/>
  <c r="F2148" i="5"/>
  <c r="X2148" i="5"/>
  <c r="R2006" i="5"/>
  <c r="J2006" i="5"/>
  <c r="I2006" i="5"/>
  <c r="H2006" i="5"/>
  <c r="F2006" i="5"/>
  <c r="X2006" i="5"/>
  <c r="F1868" i="5"/>
  <c r="X1868" i="5"/>
  <c r="R1868" i="5"/>
  <c r="J1868" i="5"/>
  <c r="I1868" i="5"/>
  <c r="H1868" i="5"/>
  <c r="R1986" i="5"/>
  <c r="J1986" i="5"/>
  <c r="I1986" i="5"/>
  <c r="H1986" i="5"/>
  <c r="F1986" i="5"/>
  <c r="X1986" i="5"/>
  <c r="R1954" i="5"/>
  <c r="I1954" i="5"/>
  <c r="H1954" i="5"/>
  <c r="F1954" i="5"/>
  <c r="J1954" i="5"/>
  <c r="X1954" i="5"/>
  <c r="I1817" i="5"/>
  <c r="X1817" i="5"/>
  <c r="R1817" i="5"/>
  <c r="J1817" i="5"/>
  <c r="H1817" i="5"/>
  <c r="F1817" i="5"/>
  <c r="H1799" i="5"/>
  <c r="F1799" i="5"/>
  <c r="X1799" i="5"/>
  <c r="R1799" i="5"/>
  <c r="J1799" i="5"/>
  <c r="I1799" i="5"/>
  <c r="I1950" i="5"/>
  <c r="H1950" i="5"/>
  <c r="F1950" i="5"/>
  <c r="R1950" i="5"/>
  <c r="J1950" i="5"/>
  <c r="X1950" i="5"/>
  <c r="I1938" i="5"/>
  <c r="H1938" i="5"/>
  <c r="F1938" i="5"/>
  <c r="R1938" i="5"/>
  <c r="J1938" i="5"/>
  <c r="X1938" i="5"/>
  <c r="X1812" i="5"/>
  <c r="I1812" i="5"/>
  <c r="H1812" i="5"/>
  <c r="F1812" i="5"/>
  <c r="R1812" i="5"/>
  <c r="J1812" i="5"/>
  <c r="H1755" i="5"/>
  <c r="F1755" i="5"/>
  <c r="X1755" i="5"/>
  <c r="R1755" i="5"/>
  <c r="J1755" i="5"/>
  <c r="I1755" i="5"/>
  <c r="R1739" i="5"/>
  <c r="J1739" i="5"/>
  <c r="I1739" i="5"/>
  <c r="H1739" i="5"/>
  <c r="F1739" i="5"/>
  <c r="X1739" i="5"/>
  <c r="I1744" i="5"/>
  <c r="X1744" i="5"/>
  <c r="R1744" i="5"/>
  <c r="J1744" i="5"/>
  <c r="H1744" i="5"/>
  <c r="F1744" i="5"/>
  <c r="R1651" i="5"/>
  <c r="J1651" i="5"/>
  <c r="I1651" i="5"/>
  <c r="H1651" i="5"/>
  <c r="F1651" i="5"/>
  <c r="X1651" i="5"/>
  <c r="J1409" i="5"/>
  <c r="I1409" i="5"/>
  <c r="X1409" i="5"/>
  <c r="R1409" i="5"/>
  <c r="H1409" i="5"/>
  <c r="F1409" i="5"/>
  <c r="J1421" i="5"/>
  <c r="I1421" i="5"/>
  <c r="H1421" i="5"/>
  <c r="R1421" i="5"/>
  <c r="F1421" i="5"/>
  <c r="X1421" i="5"/>
  <c r="J1405" i="5"/>
  <c r="I1405" i="5"/>
  <c r="H1405" i="5"/>
  <c r="R1405" i="5"/>
  <c r="F1405" i="5"/>
  <c r="X1405" i="5"/>
  <c r="I1599" i="5"/>
  <c r="H1599" i="5"/>
  <c r="F1599" i="5"/>
  <c r="R1599" i="5"/>
  <c r="J1599" i="5"/>
  <c r="X1599" i="5"/>
  <c r="I1567" i="5"/>
  <c r="H1567" i="5"/>
  <c r="F1567" i="5"/>
  <c r="R1567" i="5"/>
  <c r="J1567" i="5"/>
  <c r="X1567" i="5"/>
  <c r="R1719" i="5"/>
  <c r="J1719" i="5"/>
  <c r="I1719" i="5"/>
  <c r="H1719" i="5"/>
  <c r="F1719" i="5"/>
  <c r="X1719" i="5"/>
  <c r="F1374" i="5"/>
  <c r="R1374" i="5"/>
  <c r="X1374" i="5"/>
  <c r="J1374" i="5"/>
  <c r="I1374" i="5"/>
  <c r="H1374" i="5"/>
  <c r="I1375" i="5"/>
  <c r="H1375" i="5"/>
  <c r="X1375" i="5"/>
  <c r="R1375" i="5"/>
  <c r="J1375" i="5"/>
  <c r="F1375" i="5"/>
  <c r="I1544" i="5"/>
  <c r="H1544" i="5"/>
  <c r="F1544" i="5"/>
  <c r="X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X1608" i="5"/>
  <c r="R1521" i="5"/>
  <c r="J1521" i="5"/>
  <c r="H1521" i="5"/>
  <c r="F1521" i="5"/>
  <c r="X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X1215" i="5"/>
  <c r="J1215" i="5"/>
  <c r="R1215" i="5"/>
  <c r="F1378" i="5"/>
  <c r="R1378" i="5"/>
  <c r="I1378" i="5"/>
  <c r="H1378" i="5"/>
  <c r="X1378" i="5"/>
  <c r="J1378" i="5"/>
  <c r="X1146" i="5"/>
  <c r="J1146" i="5"/>
  <c r="I1146" i="5"/>
  <c r="H1146" i="5"/>
  <c r="R1146" i="5"/>
  <c r="F1146" i="5"/>
  <c r="R1564" i="5"/>
  <c r="J1564" i="5"/>
  <c r="I1564" i="5"/>
  <c r="H1564" i="5"/>
  <c r="F1564" i="5"/>
  <c r="X1564" i="5"/>
  <c r="I1496" i="5"/>
  <c r="H1496" i="5"/>
  <c r="F1496" i="5"/>
  <c r="X1496" i="5"/>
  <c r="R1496" i="5"/>
  <c r="J1496" i="5"/>
  <c r="H1124" i="5"/>
  <c r="F1124" i="5"/>
  <c r="X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X1194" i="5"/>
  <c r="R1194" i="5"/>
  <c r="J1194" i="5"/>
  <c r="I1194" i="5"/>
  <c r="H1194" i="5"/>
  <c r="F1226" i="5"/>
  <c r="X1226" i="5"/>
  <c r="R1226" i="5"/>
  <c r="J1226" i="5"/>
  <c r="I1226" i="5"/>
  <c r="H1226" i="5"/>
  <c r="H1088" i="5"/>
  <c r="F1088" i="5"/>
  <c r="X1088" i="5"/>
  <c r="R1088" i="5"/>
  <c r="I1088" i="5"/>
  <c r="J1088" i="5"/>
  <c r="H1024" i="5"/>
  <c r="F1024" i="5"/>
  <c r="X1024" i="5"/>
  <c r="R1024" i="5"/>
  <c r="J1024" i="5"/>
  <c r="I1024" i="5"/>
  <c r="F1206" i="5"/>
  <c r="X1206" i="5"/>
  <c r="R1206" i="5"/>
  <c r="J1206" i="5"/>
  <c r="H1206" i="5"/>
  <c r="I1206" i="5"/>
  <c r="H1084" i="5"/>
  <c r="F1084" i="5"/>
  <c r="X1084" i="5"/>
  <c r="R1084" i="5"/>
  <c r="J1084" i="5"/>
  <c r="I1084" i="5"/>
  <c r="F1266" i="5"/>
  <c r="X1266" i="5"/>
  <c r="R1266" i="5"/>
  <c r="J1266" i="5"/>
  <c r="I1266" i="5"/>
  <c r="H1266" i="5"/>
  <c r="F968" i="5"/>
  <c r="X968" i="5"/>
  <c r="R968" i="5"/>
  <c r="J968" i="5"/>
  <c r="I968" i="5"/>
  <c r="H968" i="5"/>
  <c r="J989" i="5"/>
  <c r="I989" i="5"/>
  <c r="H989" i="5"/>
  <c r="X989" i="5"/>
  <c r="F989" i="5"/>
  <c r="R989" i="5"/>
  <c r="J1065" i="5"/>
  <c r="I1065" i="5"/>
  <c r="H1065" i="5"/>
  <c r="X1065" i="5"/>
  <c r="R1065" i="5"/>
  <c r="F1065" i="5"/>
  <c r="R866" i="5"/>
  <c r="I866" i="5"/>
  <c r="H866" i="5"/>
  <c r="F866" i="5"/>
  <c r="X866" i="5"/>
  <c r="J866" i="5"/>
  <c r="X859" i="5"/>
  <c r="R859" i="5"/>
  <c r="I859" i="5"/>
  <c r="J859" i="5"/>
  <c r="H859" i="5"/>
  <c r="F859" i="5"/>
  <c r="H980" i="5"/>
  <c r="F980" i="5"/>
  <c r="X980" i="5"/>
  <c r="R980" i="5"/>
  <c r="J980" i="5"/>
  <c r="I980" i="5"/>
  <c r="X879" i="5"/>
  <c r="R879" i="5"/>
  <c r="I879" i="5"/>
  <c r="H879" i="5"/>
  <c r="F879" i="5"/>
  <c r="J879" i="5"/>
  <c r="I653" i="5"/>
  <c r="H653" i="5"/>
  <c r="F653" i="5"/>
  <c r="X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A24" i="6"/>
  <c r="B68" i="4"/>
  <c r="A49" i="6"/>
  <c r="B62" i="4"/>
  <c r="A44" i="6"/>
  <c r="B50" i="4"/>
  <c r="A34" i="6"/>
  <c r="B56" i="4"/>
  <c r="A39" i="6"/>
  <c r="J2487" i="5"/>
  <c r="I2487" i="5"/>
  <c r="X2487" i="5"/>
  <c r="R2487" i="5"/>
  <c r="H2487" i="5"/>
  <c r="F2487" i="5"/>
  <c r="H2467" i="5"/>
  <c r="R2467" i="5"/>
  <c r="J2467" i="5"/>
  <c r="I2467" i="5"/>
  <c r="F2467" i="5"/>
  <c r="X2467" i="5"/>
  <c r="D64" i="6"/>
  <c r="C64" i="6"/>
  <c r="J2500" i="5"/>
  <c r="I2500" i="5"/>
  <c r="H2500" i="5"/>
  <c r="R2500" i="5"/>
  <c r="F2500" i="5"/>
  <c r="I2419" i="5"/>
  <c r="H2419" i="5"/>
  <c r="F2419" i="5"/>
  <c r="X2419" i="5"/>
  <c r="R2419" i="5"/>
  <c r="J2419" i="5"/>
  <c r="I2269" i="5"/>
  <c r="H2269" i="5"/>
  <c r="F2269" i="5"/>
  <c r="X2269" i="5"/>
  <c r="R2269" i="5"/>
  <c r="J2269" i="5"/>
  <c r="J2259" i="5"/>
  <c r="I2259" i="5"/>
  <c r="H2259" i="5"/>
  <c r="X2259" i="5"/>
  <c r="R2259" i="5"/>
  <c r="F2259" i="5"/>
  <c r="F2226" i="5"/>
  <c r="R2226" i="5"/>
  <c r="J2226" i="5"/>
  <c r="I2226" i="5"/>
  <c r="H2226" i="5"/>
  <c r="X2226" i="5"/>
  <c r="F2214" i="5"/>
  <c r="R2214" i="5"/>
  <c r="J2214" i="5"/>
  <c r="I2214" i="5"/>
  <c r="H2214" i="5"/>
  <c r="X2214" i="5"/>
  <c r="H2127" i="5"/>
  <c r="F2127" i="5"/>
  <c r="J2127" i="5"/>
  <c r="I2127" i="5"/>
  <c r="X2127" i="5"/>
  <c r="R2127" i="5"/>
  <c r="F2102" i="5"/>
  <c r="X2102" i="5"/>
  <c r="I2102" i="5"/>
  <c r="H2102" i="5"/>
  <c r="J2102" i="5"/>
  <c r="R2102" i="5"/>
  <c r="R1994" i="5"/>
  <c r="J1994" i="5"/>
  <c r="I1994" i="5"/>
  <c r="H1994" i="5"/>
  <c r="F1994" i="5"/>
  <c r="X1994" i="5"/>
  <c r="I1865" i="5"/>
  <c r="H1865" i="5"/>
  <c r="F1865" i="5"/>
  <c r="X1865" i="5"/>
  <c r="R1865" i="5"/>
  <c r="J1865" i="5"/>
  <c r="I1942" i="5"/>
  <c r="H1942" i="5"/>
  <c r="F1942" i="5"/>
  <c r="R1942" i="5"/>
  <c r="J1942" i="5"/>
  <c r="X1942" i="5"/>
  <c r="R2022" i="5"/>
  <c r="J2022" i="5"/>
  <c r="I2022" i="5"/>
  <c r="H2022" i="5"/>
  <c r="F2022" i="5"/>
  <c r="X2022" i="5"/>
  <c r="X1904" i="5"/>
  <c r="J1904" i="5"/>
  <c r="R1904" i="5"/>
  <c r="I1904" i="5"/>
  <c r="H1904" i="5"/>
  <c r="F1904" i="5"/>
  <c r="H1779" i="5"/>
  <c r="F1779" i="5"/>
  <c r="X1779" i="5"/>
  <c r="R1779" i="5"/>
  <c r="J1779" i="5"/>
  <c r="I1779" i="5"/>
  <c r="I1821" i="5"/>
  <c r="J1821" i="5"/>
  <c r="H1821" i="5"/>
  <c r="F1821" i="5"/>
  <c r="X1821" i="5"/>
  <c r="R1821" i="5"/>
  <c r="I1910" i="5"/>
  <c r="H1910" i="5"/>
  <c r="F1910" i="5"/>
  <c r="R1910" i="5"/>
  <c r="J1910" i="5"/>
  <c r="X1910" i="5"/>
  <c r="J1804" i="5"/>
  <c r="I1804" i="5"/>
  <c r="H1804" i="5"/>
  <c r="F1804" i="5"/>
  <c r="X1804" i="5"/>
  <c r="R1804" i="5"/>
  <c r="J1800" i="5"/>
  <c r="I1800" i="5"/>
  <c r="H1800" i="5"/>
  <c r="F1800" i="5"/>
  <c r="X1800" i="5"/>
  <c r="R1800" i="5"/>
  <c r="J1792" i="5"/>
  <c r="I1792" i="5"/>
  <c r="H1792" i="5"/>
  <c r="F1792" i="5"/>
  <c r="X1792" i="5"/>
  <c r="R1792" i="5"/>
  <c r="J1784" i="5"/>
  <c r="I1784" i="5"/>
  <c r="H1784" i="5"/>
  <c r="F1784" i="5"/>
  <c r="X1784" i="5"/>
  <c r="R1784" i="5"/>
  <c r="J1776" i="5"/>
  <c r="I1776" i="5"/>
  <c r="H1776" i="5"/>
  <c r="F1776" i="5"/>
  <c r="X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X1598" i="5"/>
  <c r="R1598" i="5"/>
  <c r="J1598" i="5"/>
  <c r="I1598" i="5"/>
  <c r="H1598" i="5"/>
  <c r="F1566" i="5"/>
  <c r="X1566" i="5"/>
  <c r="R1566" i="5"/>
  <c r="J1566" i="5"/>
  <c r="I1566" i="5"/>
  <c r="H1566" i="5"/>
  <c r="R1862" i="5"/>
  <c r="J1862" i="5"/>
  <c r="I1862" i="5"/>
  <c r="H1862" i="5"/>
  <c r="F1862" i="5"/>
  <c r="X1862" i="5"/>
  <c r="J1772" i="5"/>
  <c r="I1772" i="5"/>
  <c r="H1772" i="5"/>
  <c r="F1772" i="5"/>
  <c r="X1772" i="5"/>
  <c r="R1772" i="5"/>
  <c r="I1603" i="5"/>
  <c r="H1603" i="5"/>
  <c r="F1603" i="5"/>
  <c r="R1603" i="5"/>
  <c r="J1603" i="5"/>
  <c r="X1603" i="5"/>
  <c r="I1536" i="5"/>
  <c r="H1536" i="5"/>
  <c r="F1536" i="5"/>
  <c r="X1536" i="5"/>
  <c r="J1536" i="5"/>
  <c r="R1536" i="5"/>
  <c r="I1391" i="5"/>
  <c r="H1391" i="5"/>
  <c r="X1391" i="5"/>
  <c r="F1391" i="5"/>
  <c r="R1391" i="5"/>
  <c r="J1391" i="5"/>
  <c r="H1203" i="5"/>
  <c r="F1203" i="5"/>
  <c r="X1203" i="5"/>
  <c r="R1203" i="5"/>
  <c r="J1203" i="5"/>
  <c r="I1203" i="5"/>
  <c r="R1376" i="5"/>
  <c r="J1376" i="5"/>
  <c r="I1376" i="5"/>
  <c r="H1376" i="5"/>
  <c r="F1376" i="5"/>
  <c r="X1376" i="5"/>
  <c r="F1234" i="5"/>
  <c r="X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X1489" i="5"/>
  <c r="I1489" i="5"/>
  <c r="X916" i="5"/>
  <c r="R916" i="5"/>
  <c r="I916" i="5"/>
  <c r="F916" i="5"/>
  <c r="J916" i="5"/>
  <c r="H916" i="5"/>
  <c r="F956" i="5"/>
  <c r="X956" i="5"/>
  <c r="R956" i="5"/>
  <c r="I956" i="5"/>
  <c r="J956" i="5"/>
  <c r="H956" i="5"/>
  <c r="X871" i="5"/>
  <c r="R871" i="5"/>
  <c r="I871" i="5"/>
  <c r="H871" i="5"/>
  <c r="F871" i="5"/>
  <c r="J871" i="5"/>
  <c r="R874" i="5"/>
  <c r="I874" i="5"/>
  <c r="H874" i="5"/>
  <c r="X874" i="5"/>
  <c r="J874" i="5"/>
  <c r="F874" i="5"/>
  <c r="F853" i="5"/>
  <c r="X853" i="5"/>
  <c r="R853" i="5"/>
  <c r="I853" i="5"/>
  <c r="J853" i="5"/>
  <c r="H853" i="5"/>
  <c r="H818" i="5"/>
  <c r="X818" i="5"/>
  <c r="R818" i="5"/>
  <c r="J818" i="5"/>
  <c r="I818" i="5"/>
  <c r="F818" i="5"/>
  <c r="I625" i="5"/>
  <c r="H625" i="5"/>
  <c r="F625" i="5"/>
  <c r="X625" i="5"/>
  <c r="R625" i="5"/>
  <c r="J625" i="5"/>
  <c r="J687" i="5"/>
  <c r="I687" i="5"/>
  <c r="X687" i="5"/>
  <c r="R687" i="5"/>
  <c r="H687" i="5"/>
  <c r="F687"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A27" i="6"/>
  <c r="B53" i="4"/>
  <c r="A37" i="6"/>
  <c r="B65" i="4"/>
  <c r="A47" i="6"/>
  <c r="B71" i="4"/>
  <c r="A52" i="6"/>
  <c r="B59" i="4"/>
  <c r="A42" i="6"/>
  <c r="H2463" i="5"/>
  <c r="I2463" i="5"/>
  <c r="F2463" i="5"/>
  <c r="X2463" i="5"/>
  <c r="R2463" i="5"/>
  <c r="J2463" i="5"/>
  <c r="F42" i="6"/>
  <c r="H42" i="6"/>
  <c r="D42" i="6"/>
  <c r="H27" i="6"/>
  <c r="F68" i="6"/>
  <c r="F32" i="6"/>
  <c r="F52" i="6"/>
  <c r="H52" i="6"/>
  <c r="D52" i="6"/>
  <c r="F47" i="6"/>
  <c r="F37" i="6"/>
  <c r="H37" i="6"/>
  <c r="D37" i="6"/>
  <c r="F2323" i="5"/>
  <c r="X2323" i="5"/>
  <c r="J2323" i="5"/>
  <c r="R2323" i="5"/>
  <c r="I2323" i="5"/>
  <c r="H2323" i="5"/>
  <c r="I2300" i="5"/>
  <c r="J2300" i="5"/>
  <c r="H2300" i="5"/>
  <c r="F2300" i="5"/>
  <c r="X2300" i="5"/>
  <c r="R2300" i="5"/>
  <c r="R2168" i="5"/>
  <c r="J2168" i="5"/>
  <c r="I2168" i="5"/>
  <c r="H2168" i="5"/>
  <c r="X2168" i="5"/>
  <c r="F2168" i="5"/>
  <c r="F2074" i="5"/>
  <c r="X2074" i="5"/>
  <c r="R2074" i="5"/>
  <c r="J2074" i="5"/>
  <c r="I2074" i="5"/>
  <c r="H2074" i="5"/>
  <c r="R2060" i="5"/>
  <c r="J2060" i="5"/>
  <c r="H2060" i="5"/>
  <c r="F2060" i="5"/>
  <c r="X2060" i="5"/>
  <c r="I2060" i="5"/>
  <c r="R2088" i="5"/>
  <c r="J2088" i="5"/>
  <c r="I2088" i="5"/>
  <c r="H2088" i="5"/>
  <c r="F2088" i="5"/>
  <c r="X2088" i="5"/>
  <c r="R2042" i="5"/>
  <c r="J2042" i="5"/>
  <c r="I2042" i="5"/>
  <c r="H2042" i="5"/>
  <c r="F2042" i="5"/>
  <c r="X2042" i="5"/>
  <c r="R1822" i="5"/>
  <c r="I1822" i="5"/>
  <c r="X1822" i="5"/>
  <c r="J1822" i="5"/>
  <c r="H1822" i="5"/>
  <c r="F1822" i="5"/>
  <c r="I1841" i="5"/>
  <c r="F1841" i="5"/>
  <c r="H1841" i="5"/>
  <c r="X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X1348" i="5"/>
  <c r="I1348" i="5"/>
  <c r="H1348" i="5"/>
  <c r="J1348" i="5"/>
  <c r="F1370" i="5"/>
  <c r="R1370" i="5"/>
  <c r="I1370" i="5"/>
  <c r="H1370" i="5"/>
  <c r="J1370" i="5"/>
  <c r="X1370" i="5"/>
  <c r="J1473" i="5"/>
  <c r="H1473" i="5"/>
  <c r="F1473" i="5"/>
  <c r="X1473" i="5"/>
  <c r="I1473" i="5"/>
  <c r="R1473" i="5"/>
  <c r="H1400" i="5"/>
  <c r="X1400" i="5"/>
  <c r="F1400" i="5"/>
  <c r="R1400" i="5"/>
  <c r="J1400" i="5"/>
  <c r="I1400" i="5"/>
  <c r="I1327" i="5"/>
  <c r="H1327" i="5"/>
  <c r="R1327" i="5"/>
  <c r="J1327" i="5"/>
  <c r="F1327" i="5"/>
  <c r="X1327" i="5"/>
  <c r="H1072" i="5"/>
  <c r="F1072" i="5"/>
  <c r="X1072" i="5"/>
  <c r="R1072" i="5"/>
  <c r="I1072" i="5"/>
  <c r="J1072" i="5"/>
  <c r="H1008" i="5"/>
  <c r="F1008" i="5"/>
  <c r="X1008" i="5"/>
  <c r="R1008" i="5"/>
  <c r="J1008" i="5"/>
  <c r="I1008" i="5"/>
  <c r="H1100" i="5"/>
  <c r="F1100" i="5"/>
  <c r="X1100" i="5"/>
  <c r="R1100" i="5"/>
  <c r="J1100" i="5"/>
  <c r="I1100" i="5"/>
  <c r="J1017" i="5"/>
  <c r="I1017" i="5"/>
  <c r="H1017" i="5"/>
  <c r="X1017" i="5"/>
  <c r="R1017" i="5"/>
  <c r="F1017" i="5"/>
  <c r="J1129" i="5"/>
  <c r="I1129" i="5"/>
  <c r="H1129" i="5"/>
  <c r="X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A15" i="6"/>
  <c r="B33" i="4"/>
  <c r="A20" i="6"/>
  <c r="F2406" i="5"/>
  <c r="X2406" i="5"/>
  <c r="H2406" i="5"/>
  <c r="R2406" i="5"/>
  <c r="J2406" i="5"/>
  <c r="I2406" i="5"/>
  <c r="J2440" i="5"/>
  <c r="R2440" i="5"/>
  <c r="I2440" i="5"/>
  <c r="X2440" i="5"/>
  <c r="H2440" i="5"/>
  <c r="F2440" i="5"/>
  <c r="H22" i="6"/>
  <c r="K68" i="6"/>
  <c r="F2485" i="5"/>
  <c r="X2485" i="5"/>
  <c r="R2485" i="5"/>
  <c r="J2485" i="5"/>
  <c r="I2485" i="5"/>
  <c r="H2485" i="5"/>
  <c r="J2444" i="5"/>
  <c r="I2444" i="5"/>
  <c r="H2444" i="5"/>
  <c r="R2444" i="5"/>
  <c r="F2444" i="5"/>
  <c r="X2444" i="5"/>
  <c r="J2362" i="5"/>
  <c r="H2362" i="5"/>
  <c r="F2362" i="5"/>
  <c r="X2362" i="5"/>
  <c r="R2362" i="5"/>
  <c r="I2362" i="5"/>
  <c r="R2416" i="5"/>
  <c r="J2416" i="5"/>
  <c r="I2416" i="5"/>
  <c r="H2416" i="5"/>
  <c r="F2416" i="5"/>
  <c r="X2416" i="5"/>
  <c r="R2428" i="5"/>
  <c r="J2428" i="5"/>
  <c r="I2428" i="5"/>
  <c r="H2428" i="5"/>
  <c r="F2428" i="5"/>
  <c r="X2428" i="5"/>
  <c r="I2411" i="5"/>
  <c r="H2411" i="5"/>
  <c r="F2411" i="5"/>
  <c r="X2411" i="5"/>
  <c r="R2411" i="5"/>
  <c r="J2411" i="5"/>
  <c r="J2332" i="5"/>
  <c r="I2332" i="5"/>
  <c r="H2332" i="5"/>
  <c r="F2332" i="5"/>
  <c r="R2332" i="5"/>
  <c r="X2332" i="5"/>
  <c r="J2336" i="5"/>
  <c r="I2336" i="5"/>
  <c r="H2336" i="5"/>
  <c r="X2336" i="5"/>
  <c r="R2336" i="5"/>
  <c r="F2336" i="5"/>
  <c r="I2296" i="5"/>
  <c r="H2296" i="5"/>
  <c r="R2296" i="5"/>
  <c r="J2296" i="5"/>
  <c r="F2296" i="5"/>
  <c r="X2296" i="5"/>
  <c r="H2246" i="5"/>
  <c r="F2246" i="5"/>
  <c r="X2246" i="5"/>
  <c r="R2246" i="5"/>
  <c r="J2246" i="5"/>
  <c r="I2246" i="5"/>
  <c r="J2208" i="5"/>
  <c r="X2208" i="5"/>
  <c r="R2208" i="5"/>
  <c r="I2208" i="5"/>
  <c r="H2208" i="5"/>
  <c r="F2208" i="5"/>
  <c r="X2298" i="5"/>
  <c r="R2298" i="5"/>
  <c r="I2298" i="5"/>
  <c r="J2298" i="5"/>
  <c r="H2298" i="5"/>
  <c r="F2298" i="5"/>
  <c r="I2304" i="5"/>
  <c r="H2304" i="5"/>
  <c r="R2304" i="5"/>
  <c r="J2304" i="5"/>
  <c r="X2304" i="5"/>
  <c r="F2304" i="5"/>
  <c r="H2234" i="5"/>
  <c r="F2234" i="5"/>
  <c r="X2234" i="5"/>
  <c r="R2234" i="5"/>
  <c r="J2234" i="5"/>
  <c r="I2234" i="5"/>
  <c r="H2242" i="5"/>
  <c r="F2242" i="5"/>
  <c r="X2242" i="5"/>
  <c r="R2242" i="5"/>
  <c r="J2242" i="5"/>
  <c r="I2242" i="5"/>
  <c r="R2140" i="5"/>
  <c r="J2140" i="5"/>
  <c r="I2140" i="5"/>
  <c r="H2140" i="5"/>
  <c r="X2140" i="5"/>
  <c r="F2140" i="5"/>
  <c r="J2124" i="5"/>
  <c r="I2124" i="5"/>
  <c r="H2124" i="5"/>
  <c r="X2124" i="5"/>
  <c r="R2124" i="5"/>
  <c r="F2124" i="5"/>
  <c r="F2110" i="5"/>
  <c r="X2110" i="5"/>
  <c r="I2110" i="5"/>
  <c r="H2110" i="5"/>
  <c r="R2110" i="5"/>
  <c r="J2110" i="5"/>
  <c r="F2094" i="5"/>
  <c r="X2094" i="5"/>
  <c r="I2094" i="5"/>
  <c r="H2094" i="5"/>
  <c r="R2094" i="5"/>
  <c r="J2094" i="5"/>
  <c r="J2235" i="5"/>
  <c r="I2235" i="5"/>
  <c r="H2235" i="5"/>
  <c r="X2235" i="5"/>
  <c r="R2235" i="5"/>
  <c r="F2235" i="5"/>
  <c r="X2278" i="5"/>
  <c r="J2278" i="5"/>
  <c r="I2278" i="5"/>
  <c r="H2278" i="5"/>
  <c r="F2278" i="5"/>
  <c r="R2278" i="5"/>
  <c r="I2071" i="5"/>
  <c r="H2071" i="5"/>
  <c r="F2071" i="5"/>
  <c r="X2071" i="5"/>
  <c r="R2071" i="5"/>
  <c r="J2071" i="5"/>
  <c r="R2052" i="5"/>
  <c r="J2052" i="5"/>
  <c r="H2052" i="5"/>
  <c r="F2052" i="5"/>
  <c r="X2052" i="5"/>
  <c r="I2052" i="5"/>
  <c r="F1864" i="5"/>
  <c r="X1864" i="5"/>
  <c r="R1864" i="5"/>
  <c r="J1864" i="5"/>
  <c r="H1864" i="5"/>
  <c r="I1864" i="5"/>
  <c r="R2030" i="5"/>
  <c r="J2030" i="5"/>
  <c r="I2030" i="5"/>
  <c r="H2030" i="5"/>
  <c r="F2030" i="5"/>
  <c r="X2030" i="5"/>
  <c r="I1857" i="5"/>
  <c r="H1857" i="5"/>
  <c r="F1857" i="5"/>
  <c r="R1857" i="5"/>
  <c r="J1857" i="5"/>
  <c r="X1857" i="5"/>
  <c r="R2010" i="5"/>
  <c r="J2010" i="5"/>
  <c r="I2010" i="5"/>
  <c r="H2010" i="5"/>
  <c r="F2010" i="5"/>
  <c r="X2010" i="5"/>
  <c r="R1990" i="5"/>
  <c r="J1990" i="5"/>
  <c r="I1990" i="5"/>
  <c r="H1990" i="5"/>
  <c r="F1990" i="5"/>
  <c r="X1990" i="5"/>
  <c r="R1866" i="5"/>
  <c r="J1866" i="5"/>
  <c r="I1866" i="5"/>
  <c r="H1866" i="5"/>
  <c r="F1866" i="5"/>
  <c r="X1866" i="5"/>
  <c r="R1870" i="5"/>
  <c r="J1870" i="5"/>
  <c r="I1870" i="5"/>
  <c r="H1870" i="5"/>
  <c r="F1870" i="5"/>
  <c r="X1870" i="5"/>
  <c r="R1854" i="5"/>
  <c r="J1854" i="5"/>
  <c r="I1854" i="5"/>
  <c r="H1854" i="5"/>
  <c r="F1854" i="5"/>
  <c r="X1854" i="5"/>
  <c r="H1795" i="5"/>
  <c r="F1795" i="5"/>
  <c r="X1795" i="5"/>
  <c r="R1795" i="5"/>
  <c r="J1795" i="5"/>
  <c r="I1795" i="5"/>
  <c r="X1831" i="5"/>
  <c r="R1831" i="5"/>
  <c r="H1831" i="5"/>
  <c r="F1831" i="5"/>
  <c r="J1831" i="5"/>
  <c r="I1831" i="5"/>
  <c r="R1733" i="5"/>
  <c r="H1733" i="5"/>
  <c r="F1733" i="5"/>
  <c r="X1733" i="5"/>
  <c r="J1733" i="5"/>
  <c r="I1733" i="5"/>
  <c r="I1718" i="5"/>
  <c r="H1718" i="5"/>
  <c r="F1718" i="5"/>
  <c r="X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X1832" i="5"/>
  <c r="R1832" i="5"/>
  <c r="J1832" i="5"/>
  <c r="I1832" i="5"/>
  <c r="H1832" i="5"/>
  <c r="F1832" i="5"/>
  <c r="I1547" i="5"/>
  <c r="H1547" i="5"/>
  <c r="F1547" i="5"/>
  <c r="R1547" i="5"/>
  <c r="J1547" i="5"/>
  <c r="X1547" i="5"/>
  <c r="I1810" i="5"/>
  <c r="R1810" i="5"/>
  <c r="J1810" i="5"/>
  <c r="H1810" i="5"/>
  <c r="F1810" i="5"/>
  <c r="X1810" i="5"/>
  <c r="J1429" i="5"/>
  <c r="I1429" i="5"/>
  <c r="H1429" i="5"/>
  <c r="R1429" i="5"/>
  <c r="X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X1533" i="5"/>
  <c r="H1440" i="5"/>
  <c r="F1440" i="5"/>
  <c r="X1440" i="5"/>
  <c r="I1440" i="5"/>
  <c r="J1440" i="5"/>
  <c r="R1440" i="5"/>
  <c r="R1505" i="5"/>
  <c r="J1505" i="5"/>
  <c r="H1505" i="5"/>
  <c r="F1505" i="5"/>
  <c r="X1505" i="5"/>
  <c r="I1505" i="5"/>
  <c r="I1343" i="5"/>
  <c r="X1343" i="5"/>
  <c r="F1343" i="5"/>
  <c r="R1343" i="5"/>
  <c r="J1343" i="5"/>
  <c r="H1343" i="5"/>
  <c r="H1223" i="5"/>
  <c r="X1223" i="5"/>
  <c r="J1223" i="5"/>
  <c r="R1223" i="5"/>
  <c r="I1223" i="5"/>
  <c r="F1223" i="5"/>
  <c r="R1616" i="5"/>
  <c r="J1616" i="5"/>
  <c r="I1616" i="5"/>
  <c r="H1616" i="5"/>
  <c r="F1616" i="5"/>
  <c r="X1616" i="5"/>
  <c r="H1247" i="5"/>
  <c r="I1247" i="5"/>
  <c r="F1247" i="5"/>
  <c r="X1247" i="5"/>
  <c r="R1247" i="5"/>
  <c r="J1247" i="5"/>
  <c r="H1460" i="5"/>
  <c r="F1460" i="5"/>
  <c r="X1460" i="5"/>
  <c r="J1460" i="5"/>
  <c r="I1460" i="5"/>
  <c r="R1460" i="5"/>
  <c r="X1750" i="5"/>
  <c r="R1750" i="5"/>
  <c r="I1750" i="5"/>
  <c r="J1750" i="5"/>
  <c r="H1750" i="5"/>
  <c r="F1750" i="5"/>
  <c r="H1251" i="5"/>
  <c r="R1251" i="5"/>
  <c r="J1251" i="5"/>
  <c r="I1251" i="5"/>
  <c r="X1251" i="5"/>
  <c r="F1251" i="5"/>
  <c r="R1568" i="5"/>
  <c r="J1568" i="5"/>
  <c r="I1568" i="5"/>
  <c r="H1568" i="5"/>
  <c r="F1568" i="5"/>
  <c r="X1568" i="5"/>
  <c r="H1060" i="5"/>
  <c r="F1060" i="5"/>
  <c r="X1060" i="5"/>
  <c r="R1060" i="5"/>
  <c r="I1060" i="5"/>
  <c r="J1060" i="5"/>
  <c r="I1315" i="5"/>
  <c r="H1315" i="5"/>
  <c r="R1315" i="5"/>
  <c r="J1315" i="5"/>
  <c r="F1315" i="5"/>
  <c r="X1315" i="5"/>
  <c r="I1283" i="5"/>
  <c r="H1283" i="5"/>
  <c r="R1283" i="5"/>
  <c r="J1283" i="5"/>
  <c r="F1283" i="5"/>
  <c r="X1283" i="5"/>
  <c r="I1484" i="5"/>
  <c r="H1484" i="5"/>
  <c r="F1484" i="5"/>
  <c r="X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X1020" i="5"/>
  <c r="R1020" i="5"/>
  <c r="J1020" i="5"/>
  <c r="I1020" i="5"/>
  <c r="X928" i="5"/>
  <c r="R928" i="5"/>
  <c r="J928" i="5"/>
  <c r="I928" i="5"/>
  <c r="F928" i="5"/>
  <c r="H928" i="5"/>
  <c r="X892" i="5"/>
  <c r="R892" i="5"/>
  <c r="I892" i="5"/>
  <c r="H892" i="5"/>
  <c r="F892" i="5"/>
  <c r="J892" i="5"/>
  <c r="R847" i="5"/>
  <c r="J847" i="5"/>
  <c r="I847" i="5"/>
  <c r="X847" i="5"/>
  <c r="H847" i="5"/>
  <c r="F847" i="5"/>
  <c r="R839" i="5"/>
  <c r="J839" i="5"/>
  <c r="I839" i="5"/>
  <c r="X839" i="5"/>
  <c r="H839" i="5"/>
  <c r="F839" i="5"/>
  <c r="F845" i="5"/>
  <c r="X845" i="5"/>
  <c r="R845" i="5"/>
  <c r="I845" i="5"/>
  <c r="J845" i="5"/>
  <c r="H845" i="5"/>
  <c r="R970" i="5"/>
  <c r="J970" i="5"/>
  <c r="I970" i="5"/>
  <c r="X970" i="5"/>
  <c r="H970" i="5"/>
  <c r="F970" i="5"/>
  <c r="J811" i="5"/>
  <c r="R811" i="5"/>
  <c r="I811" i="5"/>
  <c r="H811" i="5"/>
  <c r="F811" i="5"/>
  <c r="X811" i="5"/>
  <c r="R918" i="5"/>
  <c r="I918" i="5"/>
  <c r="J918" i="5"/>
  <c r="H918" i="5"/>
  <c r="X918" i="5"/>
  <c r="F918" i="5"/>
  <c r="J1097" i="5"/>
  <c r="I1097" i="5"/>
  <c r="H1097" i="5"/>
  <c r="X1097" i="5"/>
  <c r="R1097" i="5"/>
  <c r="F1097" i="5"/>
  <c r="F833" i="5"/>
  <c r="X833" i="5"/>
  <c r="R833" i="5"/>
  <c r="I833" i="5"/>
  <c r="J833" i="5"/>
  <c r="H833" i="5"/>
  <c r="I673" i="5"/>
  <c r="H673" i="5"/>
  <c r="F673" i="5"/>
  <c r="X673" i="5"/>
  <c r="R673" i="5"/>
  <c r="J673" i="5"/>
  <c r="I641" i="5"/>
  <c r="H641" i="5"/>
  <c r="F641" i="5"/>
  <c r="X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C16" i="6"/>
  <c r="K67" i="6"/>
  <c r="D16" i="6"/>
  <c r="R2432" i="5"/>
  <c r="J2432" i="5"/>
  <c r="I2432" i="5"/>
  <c r="H2432" i="5"/>
  <c r="F2432" i="5"/>
  <c r="X2432" i="5"/>
  <c r="I2423" i="5"/>
  <c r="H2423" i="5"/>
  <c r="F2423" i="5"/>
  <c r="X2423" i="5"/>
  <c r="R2423" i="5"/>
  <c r="J2423" i="5"/>
  <c r="J2216" i="5"/>
  <c r="X2216" i="5"/>
  <c r="R2216" i="5"/>
  <c r="I2216" i="5"/>
  <c r="H2216" i="5"/>
  <c r="F2216" i="5"/>
  <c r="I2159" i="5"/>
  <c r="H2159" i="5"/>
  <c r="F2159" i="5"/>
  <c r="J2159" i="5"/>
  <c r="X2159" i="5"/>
  <c r="R2159" i="5"/>
  <c r="I2143" i="5"/>
  <c r="H2143" i="5"/>
  <c r="F2143" i="5"/>
  <c r="R2143" i="5"/>
  <c r="J2143" i="5"/>
  <c r="X2143" i="5"/>
  <c r="X1955" i="5"/>
  <c r="R1955" i="5"/>
  <c r="J1955" i="5"/>
  <c r="I1955" i="5"/>
  <c r="H1955" i="5"/>
  <c r="F1955" i="5"/>
  <c r="R1951" i="5"/>
  <c r="J1951" i="5"/>
  <c r="I1951" i="5"/>
  <c r="H1951" i="5"/>
  <c r="F1951" i="5"/>
  <c r="X1951" i="5"/>
  <c r="F1809" i="5"/>
  <c r="X1809" i="5"/>
  <c r="R1809" i="5"/>
  <c r="J1809" i="5"/>
  <c r="I1809" i="5"/>
  <c r="H1809" i="5"/>
  <c r="H1807" i="5"/>
  <c r="F1807" i="5"/>
  <c r="X1807" i="5"/>
  <c r="R1807" i="5"/>
  <c r="J1807" i="5"/>
  <c r="I1807" i="5"/>
  <c r="I1736" i="5"/>
  <c r="R1736" i="5"/>
  <c r="J1736" i="5"/>
  <c r="H1736" i="5"/>
  <c r="F1736" i="5"/>
  <c r="X1736" i="5"/>
  <c r="R1715" i="5"/>
  <c r="J1715" i="5"/>
  <c r="I1715" i="5"/>
  <c r="H1715" i="5"/>
  <c r="F1715" i="5"/>
  <c r="X1715" i="5"/>
  <c r="H2455" i="5"/>
  <c r="I2455" i="5"/>
  <c r="F2455" i="5"/>
  <c r="X2455" i="5"/>
  <c r="R2455" i="5"/>
  <c r="J2455" i="5"/>
  <c r="I1623" i="5"/>
  <c r="H1623" i="5"/>
  <c r="F1623" i="5"/>
  <c r="R1623" i="5"/>
  <c r="J1623" i="5"/>
  <c r="X1623" i="5"/>
  <c r="I1516" i="5"/>
  <c r="H1516" i="5"/>
  <c r="F1516" i="5"/>
  <c r="X1516" i="5"/>
  <c r="J1516" i="5"/>
  <c r="R1516" i="5"/>
  <c r="F1390" i="5"/>
  <c r="R1390" i="5"/>
  <c r="X1390" i="5"/>
  <c r="J1390" i="5"/>
  <c r="I1390" i="5"/>
  <c r="H1390" i="5"/>
  <c r="H1404" i="5"/>
  <c r="X1404" i="5"/>
  <c r="R1404" i="5"/>
  <c r="J1404" i="5"/>
  <c r="I1404" i="5"/>
  <c r="F1404" i="5"/>
  <c r="F1354" i="5"/>
  <c r="R1354" i="5"/>
  <c r="I1354" i="5"/>
  <c r="H1354" i="5"/>
  <c r="X1354" i="5"/>
  <c r="J1354" i="5"/>
  <c r="H1183" i="5"/>
  <c r="I1183" i="5"/>
  <c r="F1183" i="5"/>
  <c r="X1183" i="5"/>
  <c r="R1183" i="5"/>
  <c r="J1183" i="5"/>
  <c r="I1263" i="5"/>
  <c r="H1263" i="5"/>
  <c r="R1263" i="5"/>
  <c r="J1263" i="5"/>
  <c r="F1263" i="5"/>
  <c r="X1263" i="5"/>
  <c r="F1254" i="5"/>
  <c r="X1254" i="5"/>
  <c r="R1254" i="5"/>
  <c r="J1254" i="5"/>
  <c r="I1254" i="5"/>
  <c r="H1254" i="5"/>
  <c r="H1036" i="5"/>
  <c r="F1036" i="5"/>
  <c r="X1036" i="5"/>
  <c r="R1036" i="5"/>
  <c r="J1036" i="5"/>
  <c r="I1036" i="5"/>
  <c r="H1167" i="5"/>
  <c r="R1167" i="5"/>
  <c r="J1167" i="5"/>
  <c r="F1167" i="5"/>
  <c r="I1167" i="5"/>
  <c r="X1167" i="5"/>
  <c r="X923" i="5"/>
  <c r="R923" i="5"/>
  <c r="I923" i="5"/>
  <c r="J923" i="5"/>
  <c r="H923" i="5"/>
  <c r="F923" i="5"/>
  <c r="R854" i="5"/>
  <c r="I854" i="5"/>
  <c r="J854" i="5"/>
  <c r="H854" i="5"/>
  <c r="X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A26" i="6"/>
  <c r="B70" i="4"/>
  <c r="A51" i="6"/>
  <c r="B52" i="4"/>
  <c r="A36" i="6"/>
  <c r="B58" i="4"/>
  <c r="A41" i="6"/>
  <c r="B64" i="4"/>
  <c r="A46" i="6"/>
  <c r="A14" i="6"/>
  <c r="B32" i="4"/>
  <c r="A19" i="6"/>
  <c r="D15" i="6"/>
  <c r="C15" i="6"/>
  <c r="K66" i="6"/>
  <c r="H2471" i="5"/>
  <c r="I2471" i="5"/>
  <c r="F2471" i="5"/>
  <c r="X2471" i="5"/>
  <c r="R2471" i="5"/>
  <c r="J2471" i="5"/>
  <c r="H2486" i="5"/>
  <c r="I2486" i="5"/>
  <c r="F2486" i="5"/>
  <c r="R2486" i="5"/>
  <c r="J2486" i="5"/>
  <c r="X2486" i="5"/>
  <c r="F2402" i="5"/>
  <c r="X2402" i="5"/>
  <c r="I2402" i="5"/>
  <c r="H2402" i="5"/>
  <c r="R2402" i="5"/>
  <c r="J2402" i="5"/>
  <c r="H2478" i="5"/>
  <c r="I2478" i="5"/>
  <c r="F2478" i="5"/>
  <c r="R2478" i="5"/>
  <c r="J2478" i="5"/>
  <c r="X2478" i="5"/>
  <c r="H2490" i="5"/>
  <c r="F2490" i="5"/>
  <c r="I2490" i="5"/>
  <c r="X2490" i="5"/>
  <c r="R2490" i="5"/>
  <c r="J2490" i="5"/>
  <c r="H2343" i="5"/>
  <c r="F2343" i="5"/>
  <c r="X2343" i="5"/>
  <c r="R2343" i="5"/>
  <c r="J2343" i="5"/>
  <c r="I2343" i="5"/>
  <c r="H2335" i="5"/>
  <c r="F2335" i="5"/>
  <c r="X2335" i="5"/>
  <c r="R2335" i="5"/>
  <c r="I2335" i="5"/>
  <c r="J2335" i="5"/>
  <c r="J2328" i="5"/>
  <c r="I2328" i="5"/>
  <c r="H2328" i="5"/>
  <c r="X2328" i="5"/>
  <c r="R2328" i="5"/>
  <c r="F2328" i="5"/>
  <c r="I2283" i="5"/>
  <c r="R2283" i="5"/>
  <c r="J2283" i="5"/>
  <c r="H2283" i="5"/>
  <c r="F2283" i="5"/>
  <c r="X2283" i="5"/>
  <c r="H2250" i="5"/>
  <c r="F2250" i="5"/>
  <c r="X2250" i="5"/>
  <c r="R2250" i="5"/>
  <c r="I2250" i="5"/>
  <c r="J2250" i="5"/>
  <c r="I2167" i="5"/>
  <c r="H2167" i="5"/>
  <c r="F2167" i="5"/>
  <c r="R2167" i="5"/>
  <c r="J2167" i="5"/>
  <c r="X2167" i="5"/>
  <c r="F2058" i="5"/>
  <c r="X2058" i="5"/>
  <c r="R2058" i="5"/>
  <c r="J2058" i="5"/>
  <c r="I2058" i="5"/>
  <c r="H2058" i="5"/>
  <c r="H2211" i="5"/>
  <c r="X2211" i="5"/>
  <c r="R2211" i="5"/>
  <c r="J2211" i="5"/>
  <c r="I2211" i="5"/>
  <c r="F2211" i="5"/>
  <c r="J2120" i="5"/>
  <c r="I2120" i="5"/>
  <c r="H2120" i="5"/>
  <c r="R2120" i="5"/>
  <c r="F2120" i="5"/>
  <c r="X2120" i="5"/>
  <c r="I2095" i="5"/>
  <c r="H2095" i="5"/>
  <c r="F2095" i="5"/>
  <c r="R2095" i="5"/>
  <c r="J2095" i="5"/>
  <c r="X2095" i="5"/>
  <c r="I2175" i="5"/>
  <c r="H2175" i="5"/>
  <c r="F2175" i="5"/>
  <c r="R2175" i="5"/>
  <c r="J2175" i="5"/>
  <c r="X2175" i="5"/>
  <c r="I1946" i="5"/>
  <c r="H1946" i="5"/>
  <c r="F1946" i="5"/>
  <c r="X1946" i="5"/>
  <c r="R1946" i="5"/>
  <c r="J1946" i="5"/>
  <c r="F1860" i="5"/>
  <c r="X1860" i="5"/>
  <c r="R1860" i="5"/>
  <c r="J1860" i="5"/>
  <c r="I1860" i="5"/>
  <c r="H1860" i="5"/>
  <c r="I1853" i="5"/>
  <c r="H1853" i="5"/>
  <c r="F1853" i="5"/>
  <c r="R1853" i="5"/>
  <c r="J1853" i="5"/>
  <c r="X1853" i="5"/>
  <c r="I1930" i="5"/>
  <c r="H1930" i="5"/>
  <c r="F1930" i="5"/>
  <c r="R1930" i="5"/>
  <c r="J1930" i="5"/>
  <c r="X1930" i="5"/>
  <c r="I1918" i="5"/>
  <c r="H1918" i="5"/>
  <c r="F1918" i="5"/>
  <c r="R1918" i="5"/>
  <c r="J1918" i="5"/>
  <c r="X1918" i="5"/>
  <c r="R1834" i="5"/>
  <c r="I1834" i="5"/>
  <c r="F1834" i="5"/>
  <c r="X1834" i="5"/>
  <c r="J1834" i="5"/>
  <c r="H1834" i="5"/>
  <c r="H1791" i="5"/>
  <c r="F1791" i="5"/>
  <c r="X1791" i="5"/>
  <c r="R1791" i="5"/>
  <c r="J1791" i="5"/>
  <c r="I1791" i="5"/>
  <c r="I1814" i="5"/>
  <c r="H1814" i="5"/>
  <c r="F1814" i="5"/>
  <c r="X1814" i="5"/>
  <c r="J1814" i="5"/>
  <c r="R1814" i="5"/>
  <c r="R1982" i="5"/>
  <c r="J1982" i="5"/>
  <c r="I1982" i="5"/>
  <c r="H1982" i="5"/>
  <c r="F1982" i="5"/>
  <c r="X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X1731" i="5"/>
  <c r="J1417" i="5"/>
  <c r="I1417" i="5"/>
  <c r="R1417" i="5"/>
  <c r="H1417" i="5"/>
  <c r="F1417" i="5"/>
  <c r="X1417" i="5"/>
  <c r="X1734" i="5"/>
  <c r="R1734" i="5"/>
  <c r="J1734" i="5"/>
  <c r="I1734" i="5"/>
  <c r="H1734" i="5"/>
  <c r="F1734" i="5"/>
  <c r="J1437" i="5"/>
  <c r="I1437" i="5"/>
  <c r="H1437" i="5"/>
  <c r="F1437" i="5"/>
  <c r="X1437" i="5"/>
  <c r="R1437" i="5"/>
  <c r="I1607" i="5"/>
  <c r="H1607" i="5"/>
  <c r="F1607" i="5"/>
  <c r="R1607" i="5"/>
  <c r="J1607" i="5"/>
  <c r="X1607" i="5"/>
  <c r="I1575" i="5"/>
  <c r="H1575" i="5"/>
  <c r="F1575" i="5"/>
  <c r="R1575" i="5"/>
  <c r="J1575" i="5"/>
  <c r="X1575" i="5"/>
  <c r="F1358" i="5"/>
  <c r="R1358" i="5"/>
  <c r="X1358" i="5"/>
  <c r="J1358" i="5"/>
  <c r="H1358" i="5"/>
  <c r="I1358" i="5"/>
  <c r="R1340" i="5"/>
  <c r="F1340" i="5"/>
  <c r="X1340" i="5"/>
  <c r="H1340" i="5"/>
  <c r="J1340" i="5"/>
  <c r="I1340" i="5"/>
  <c r="I1500" i="5"/>
  <c r="H1500" i="5"/>
  <c r="F1500" i="5"/>
  <c r="X1500" i="5"/>
  <c r="J1500" i="5"/>
  <c r="R1500" i="5"/>
  <c r="F1362" i="5"/>
  <c r="R1362" i="5"/>
  <c r="I1362" i="5"/>
  <c r="H1362" i="5"/>
  <c r="X1362" i="5"/>
  <c r="J1362" i="5"/>
  <c r="F1382" i="5"/>
  <c r="R1382" i="5"/>
  <c r="J1382" i="5"/>
  <c r="I1382" i="5"/>
  <c r="X1382" i="5"/>
  <c r="H1382" i="5"/>
  <c r="H1191" i="5"/>
  <c r="X1191" i="5"/>
  <c r="J1191" i="5"/>
  <c r="F1191" i="5"/>
  <c r="I1191" i="5"/>
  <c r="R1191" i="5"/>
  <c r="J1441" i="5"/>
  <c r="H1441" i="5"/>
  <c r="F1441" i="5"/>
  <c r="X1441" i="5"/>
  <c r="R1441" i="5"/>
  <c r="I1441" i="5"/>
  <c r="R1141" i="5"/>
  <c r="H1141" i="5"/>
  <c r="F1141" i="5"/>
  <c r="X1141" i="5"/>
  <c r="I1141" i="5"/>
  <c r="J1141" i="5"/>
  <c r="R1388" i="5"/>
  <c r="J1388" i="5"/>
  <c r="I1388" i="5"/>
  <c r="H1388" i="5"/>
  <c r="F1388" i="5"/>
  <c r="X1388" i="5"/>
  <c r="I1311" i="5"/>
  <c r="H1311" i="5"/>
  <c r="R1311" i="5"/>
  <c r="J1311" i="5"/>
  <c r="F1311" i="5"/>
  <c r="X1311" i="5"/>
  <c r="I1279" i="5"/>
  <c r="H1279" i="5"/>
  <c r="R1279" i="5"/>
  <c r="J1279" i="5"/>
  <c r="F1279" i="5"/>
  <c r="X1279" i="5"/>
  <c r="H984" i="5"/>
  <c r="F984" i="5"/>
  <c r="X984" i="5"/>
  <c r="R984" i="5"/>
  <c r="J984" i="5"/>
  <c r="I984" i="5"/>
  <c r="R1600" i="5"/>
  <c r="J1600" i="5"/>
  <c r="I1600" i="5"/>
  <c r="H1600" i="5"/>
  <c r="F1600" i="5"/>
  <c r="X1600" i="5"/>
  <c r="F1170" i="5"/>
  <c r="X1170" i="5"/>
  <c r="J1170" i="5"/>
  <c r="I1170" i="5"/>
  <c r="H1170" i="5"/>
  <c r="R1170" i="5"/>
  <c r="H1104" i="5"/>
  <c r="F1104" i="5"/>
  <c r="X1104" i="5"/>
  <c r="R1104" i="5"/>
  <c r="I1104" i="5"/>
  <c r="J1104" i="5"/>
  <c r="H1040" i="5"/>
  <c r="F1040" i="5"/>
  <c r="X1040" i="5"/>
  <c r="R1040" i="5"/>
  <c r="I1040" i="5"/>
  <c r="J1040" i="5"/>
  <c r="F1258" i="5"/>
  <c r="X1258" i="5"/>
  <c r="R1258" i="5"/>
  <c r="J1258" i="5"/>
  <c r="I1258" i="5"/>
  <c r="H1258" i="5"/>
  <c r="H1068" i="5"/>
  <c r="F1068" i="5"/>
  <c r="X1068" i="5"/>
  <c r="R1068" i="5"/>
  <c r="J1068" i="5"/>
  <c r="I1068" i="5"/>
  <c r="J1005" i="5"/>
  <c r="I1005" i="5"/>
  <c r="H1005" i="5"/>
  <c r="X1005" i="5"/>
  <c r="F1005" i="5"/>
  <c r="R1005" i="5"/>
  <c r="X947" i="5"/>
  <c r="R947" i="5"/>
  <c r="I947" i="5"/>
  <c r="J947" i="5"/>
  <c r="H947" i="5"/>
  <c r="F947" i="5"/>
  <c r="J1188" i="5"/>
  <c r="I1188" i="5"/>
  <c r="H1188" i="5"/>
  <c r="F1188" i="5"/>
  <c r="X1188" i="5"/>
  <c r="R1188" i="5"/>
  <c r="I1144" i="5"/>
  <c r="R1144" i="5"/>
  <c r="J1144" i="5"/>
  <c r="H1144" i="5"/>
  <c r="F1144" i="5"/>
  <c r="X1144" i="5"/>
  <c r="R898" i="5"/>
  <c r="I898" i="5"/>
  <c r="H898" i="5"/>
  <c r="F898" i="5"/>
  <c r="X898" i="5"/>
  <c r="J898" i="5"/>
  <c r="X903" i="5"/>
  <c r="R903" i="5"/>
  <c r="I903" i="5"/>
  <c r="J903" i="5"/>
  <c r="H903" i="5"/>
  <c r="F903" i="5"/>
  <c r="R886" i="5"/>
  <c r="I886" i="5"/>
  <c r="J886" i="5"/>
  <c r="H886" i="5"/>
  <c r="X886" i="5"/>
  <c r="F886" i="5"/>
  <c r="I661" i="5"/>
  <c r="H661" i="5"/>
  <c r="F661" i="5"/>
  <c r="X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A16" i="6"/>
  <c r="B34" i="4"/>
  <c r="A21" i="6"/>
  <c r="F44" i="6"/>
  <c r="H44" i="6"/>
  <c r="D44" i="6"/>
  <c r="F34" i="6"/>
  <c r="F39" i="6"/>
  <c r="F54" i="6"/>
  <c r="F65" i="6"/>
  <c r="F49" i="6"/>
  <c r="F29" i="6"/>
  <c r="H29" i="6"/>
  <c r="F2430" i="5"/>
  <c r="X2430" i="5"/>
  <c r="R2430" i="5"/>
  <c r="J2430" i="5"/>
  <c r="I2430" i="5"/>
  <c r="H2430" i="5"/>
  <c r="D6" i="6"/>
  <c r="C6" i="6"/>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X2352" i="5"/>
  <c r="H2352" i="5"/>
  <c r="H2377" i="5"/>
  <c r="F2377" i="5"/>
  <c r="J2377" i="5"/>
  <c r="I2377" i="5"/>
  <c r="X2377" i="5"/>
  <c r="R2377" i="5"/>
  <c r="H2361" i="5"/>
  <c r="F2361" i="5"/>
  <c r="J2361" i="5"/>
  <c r="I2361" i="5"/>
  <c r="X2361" i="5"/>
  <c r="R2361" i="5"/>
  <c r="X2275" i="5"/>
  <c r="R2275" i="5"/>
  <c r="J2275" i="5"/>
  <c r="H2275" i="5"/>
  <c r="I2275" i="5"/>
  <c r="F2275" i="5"/>
  <c r="J2384" i="5"/>
  <c r="I2384" i="5"/>
  <c r="R2384" i="5"/>
  <c r="H2384" i="5"/>
  <c r="F2384" i="5"/>
  <c r="X2384" i="5"/>
  <c r="H2230" i="5"/>
  <c r="F2230" i="5"/>
  <c r="R2230" i="5"/>
  <c r="J2230" i="5"/>
  <c r="I2230" i="5"/>
  <c r="X2230" i="5"/>
  <c r="J2231" i="5"/>
  <c r="I2231" i="5"/>
  <c r="H2231" i="5"/>
  <c r="X2231" i="5"/>
  <c r="F2231" i="5"/>
  <c r="R2231" i="5"/>
  <c r="J2183" i="5"/>
  <c r="I2183" i="5"/>
  <c r="H2183" i="5"/>
  <c r="F2183" i="5"/>
  <c r="X2183" i="5"/>
  <c r="R2183" i="5"/>
  <c r="I2163" i="5"/>
  <c r="H2163" i="5"/>
  <c r="F2163" i="5"/>
  <c r="X2163" i="5"/>
  <c r="R2163" i="5"/>
  <c r="J2163" i="5"/>
  <c r="F2106" i="5"/>
  <c r="X2106" i="5"/>
  <c r="I2106" i="5"/>
  <c r="H2106" i="5"/>
  <c r="R2106" i="5"/>
  <c r="J2106" i="5"/>
  <c r="F2090" i="5"/>
  <c r="X2090" i="5"/>
  <c r="I2090" i="5"/>
  <c r="H2090" i="5"/>
  <c r="R2090" i="5"/>
  <c r="J2090" i="5"/>
  <c r="I2147" i="5"/>
  <c r="H2147" i="5"/>
  <c r="F2147" i="5"/>
  <c r="R2147" i="5"/>
  <c r="J2147" i="5"/>
  <c r="X2147" i="5"/>
  <c r="R2144" i="5"/>
  <c r="J2144" i="5"/>
  <c r="I2144" i="5"/>
  <c r="H2144" i="5"/>
  <c r="F2144" i="5"/>
  <c r="X2144" i="5"/>
  <c r="I2107" i="5"/>
  <c r="H2107" i="5"/>
  <c r="F2107" i="5"/>
  <c r="R2107" i="5"/>
  <c r="J2107" i="5"/>
  <c r="X2107" i="5"/>
  <c r="R2068" i="5"/>
  <c r="J2068" i="5"/>
  <c r="H2068" i="5"/>
  <c r="F2068" i="5"/>
  <c r="X2068" i="5"/>
  <c r="I2068" i="5"/>
  <c r="I2049" i="5"/>
  <c r="H2049" i="5"/>
  <c r="F2049" i="5"/>
  <c r="X2049" i="5"/>
  <c r="R2049" i="5"/>
  <c r="J2049" i="5"/>
  <c r="R1962" i="5"/>
  <c r="J1962" i="5"/>
  <c r="I1962" i="5"/>
  <c r="H1962" i="5"/>
  <c r="F1962" i="5"/>
  <c r="X1962" i="5"/>
  <c r="F1856" i="5"/>
  <c r="X1856" i="5"/>
  <c r="J1856" i="5"/>
  <c r="H1856" i="5"/>
  <c r="R1856" i="5"/>
  <c r="I1856" i="5"/>
  <c r="I1869" i="5"/>
  <c r="H1869" i="5"/>
  <c r="F1869" i="5"/>
  <c r="X1869" i="5"/>
  <c r="R1869" i="5"/>
  <c r="J1869" i="5"/>
  <c r="I1849" i="5"/>
  <c r="H1849" i="5"/>
  <c r="F1849" i="5"/>
  <c r="R1849" i="5"/>
  <c r="J1849" i="5"/>
  <c r="X1849" i="5"/>
  <c r="I1829" i="5"/>
  <c r="F1829" i="5"/>
  <c r="X1829" i="5"/>
  <c r="R1829" i="5"/>
  <c r="J1829" i="5"/>
  <c r="H1829" i="5"/>
  <c r="H1787" i="5"/>
  <c r="F1787" i="5"/>
  <c r="X1787" i="5"/>
  <c r="R1787" i="5"/>
  <c r="J1787" i="5"/>
  <c r="I1787" i="5"/>
  <c r="I1922" i="5"/>
  <c r="H1922" i="5"/>
  <c r="F1922" i="5"/>
  <c r="R1922" i="5"/>
  <c r="J1922" i="5"/>
  <c r="X1922" i="5"/>
  <c r="X1896" i="5"/>
  <c r="J1896" i="5"/>
  <c r="R1896" i="5"/>
  <c r="I1896" i="5"/>
  <c r="H1896" i="5"/>
  <c r="F1896" i="5"/>
  <c r="R1743" i="5"/>
  <c r="X1743" i="5"/>
  <c r="J1743" i="5"/>
  <c r="I1743" i="5"/>
  <c r="F1743" i="5"/>
  <c r="H1743" i="5"/>
  <c r="I1740" i="5"/>
  <c r="X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X1760" i="5"/>
  <c r="R1760" i="5"/>
  <c r="F1760" i="5"/>
  <c r="R1683" i="5"/>
  <c r="J1683" i="5"/>
  <c r="I1683" i="5"/>
  <c r="H1683" i="5"/>
  <c r="F1683" i="5"/>
  <c r="X1683" i="5"/>
  <c r="I1540" i="5"/>
  <c r="H1540" i="5"/>
  <c r="F1540" i="5"/>
  <c r="X1540" i="5"/>
  <c r="R1540" i="5"/>
  <c r="J1540" i="5"/>
  <c r="J1433" i="5"/>
  <c r="I1433" i="5"/>
  <c r="H1433" i="5"/>
  <c r="R1433" i="5"/>
  <c r="F1433" i="5"/>
  <c r="X1433" i="5"/>
  <c r="J1425" i="5"/>
  <c r="I1425" i="5"/>
  <c r="H1425" i="5"/>
  <c r="R1425" i="5"/>
  <c r="F1425" i="5"/>
  <c r="X1425" i="5"/>
  <c r="I1595" i="5"/>
  <c r="H1595" i="5"/>
  <c r="F1595" i="5"/>
  <c r="R1595" i="5"/>
  <c r="J1595" i="5"/>
  <c r="X1595" i="5"/>
  <c r="I1563" i="5"/>
  <c r="H1563" i="5"/>
  <c r="F1563" i="5"/>
  <c r="R1563" i="5"/>
  <c r="J1563" i="5"/>
  <c r="X1563" i="5"/>
  <c r="H1472" i="5"/>
  <c r="F1472" i="5"/>
  <c r="X1472" i="5"/>
  <c r="I1472" i="5"/>
  <c r="R1472" i="5"/>
  <c r="J1472" i="5"/>
  <c r="H1444" i="5"/>
  <c r="F1444" i="5"/>
  <c r="X1444" i="5"/>
  <c r="J1444" i="5"/>
  <c r="I1444" i="5"/>
  <c r="R1444" i="5"/>
  <c r="F1415" i="5"/>
  <c r="R1415" i="5"/>
  <c r="J1415" i="5"/>
  <c r="I1415" i="5"/>
  <c r="X1415" i="5"/>
  <c r="H1415" i="5"/>
  <c r="I1359" i="5"/>
  <c r="H1359" i="5"/>
  <c r="X1359" i="5"/>
  <c r="R1359" i="5"/>
  <c r="F1359" i="5"/>
  <c r="J1359" i="5"/>
  <c r="H1420" i="5"/>
  <c r="X1420" i="5"/>
  <c r="R1420" i="5"/>
  <c r="F1420" i="5"/>
  <c r="J1420" i="5"/>
  <c r="I1420" i="5"/>
  <c r="R1576" i="5"/>
  <c r="J1576" i="5"/>
  <c r="I1576" i="5"/>
  <c r="H1576" i="5"/>
  <c r="F1576" i="5"/>
  <c r="X1576" i="5"/>
  <c r="H1428" i="5"/>
  <c r="X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X1175" i="5"/>
  <c r="R1556" i="5"/>
  <c r="J1556" i="5"/>
  <c r="I1556" i="5"/>
  <c r="H1556" i="5"/>
  <c r="F1556" i="5"/>
  <c r="X1556" i="5"/>
  <c r="H1076" i="5"/>
  <c r="F1076" i="5"/>
  <c r="X1076" i="5"/>
  <c r="R1076" i="5"/>
  <c r="I1076" i="5"/>
  <c r="J1076" i="5"/>
  <c r="I1307" i="5"/>
  <c r="H1307" i="5"/>
  <c r="R1307" i="5"/>
  <c r="J1307" i="5"/>
  <c r="F1307" i="5"/>
  <c r="X1307" i="5"/>
  <c r="I1275" i="5"/>
  <c r="H1275" i="5"/>
  <c r="R1275" i="5"/>
  <c r="J1275" i="5"/>
  <c r="F1275" i="5"/>
  <c r="X1275" i="5"/>
  <c r="J1457" i="5"/>
  <c r="H1457" i="5"/>
  <c r="F1457" i="5"/>
  <c r="X1457" i="5"/>
  <c r="R1457" i="5"/>
  <c r="I1457" i="5"/>
  <c r="H1000" i="5"/>
  <c r="F1000" i="5"/>
  <c r="X1000" i="5"/>
  <c r="R1000" i="5"/>
  <c r="I1000" i="5"/>
  <c r="J1000" i="5"/>
  <c r="F1334" i="5"/>
  <c r="X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X944" i="5"/>
  <c r="R944" i="5"/>
  <c r="J944" i="5"/>
  <c r="I944" i="5"/>
  <c r="F944" i="5"/>
  <c r="H944" i="5"/>
  <c r="F1262" i="5"/>
  <c r="X1262" i="5"/>
  <c r="R1262" i="5"/>
  <c r="J1262" i="5"/>
  <c r="I1262" i="5"/>
  <c r="H1262" i="5"/>
  <c r="J1021" i="5"/>
  <c r="I1021" i="5"/>
  <c r="H1021" i="5"/>
  <c r="X1021" i="5"/>
  <c r="F1021" i="5"/>
  <c r="R1021" i="5"/>
  <c r="R946" i="5"/>
  <c r="I946" i="5"/>
  <c r="J946" i="5"/>
  <c r="H946" i="5"/>
  <c r="X946" i="5"/>
  <c r="F946" i="5"/>
  <c r="R958" i="5"/>
  <c r="J958" i="5"/>
  <c r="I958" i="5"/>
  <c r="X958" i="5"/>
  <c r="F958" i="5"/>
  <c r="H958" i="5"/>
  <c r="I1347" i="5"/>
  <c r="X1347" i="5"/>
  <c r="R1347" i="5"/>
  <c r="J1347" i="5"/>
  <c r="H1347" i="5"/>
  <c r="F1347" i="5"/>
  <c r="R950" i="5"/>
  <c r="J950" i="5"/>
  <c r="I950" i="5"/>
  <c r="H950" i="5"/>
  <c r="F950" i="5"/>
  <c r="X950" i="5"/>
  <c r="R1153" i="5"/>
  <c r="J1153" i="5"/>
  <c r="I1153" i="5"/>
  <c r="H1153" i="5"/>
  <c r="X1153" i="5"/>
  <c r="F1153" i="5"/>
  <c r="R882" i="5"/>
  <c r="I882" i="5"/>
  <c r="H882" i="5"/>
  <c r="F882" i="5"/>
  <c r="X882" i="5"/>
  <c r="J882" i="5"/>
  <c r="R902" i="5"/>
  <c r="I902" i="5"/>
  <c r="J902" i="5"/>
  <c r="H902" i="5"/>
  <c r="X902" i="5"/>
  <c r="F902" i="5"/>
  <c r="R890" i="5"/>
  <c r="I890" i="5"/>
  <c r="H890" i="5"/>
  <c r="X890" i="5"/>
  <c r="J890" i="5"/>
  <c r="F890" i="5"/>
  <c r="J977" i="5"/>
  <c r="I977" i="5"/>
  <c r="H977" i="5"/>
  <c r="X977" i="5"/>
  <c r="R977" i="5"/>
  <c r="F977" i="5"/>
  <c r="F849" i="5"/>
  <c r="X849" i="5"/>
  <c r="R849" i="5"/>
  <c r="I849" i="5"/>
  <c r="J849" i="5"/>
  <c r="H849" i="5"/>
  <c r="I649" i="5"/>
  <c r="H649" i="5"/>
  <c r="F649" i="5"/>
  <c r="X649" i="5"/>
  <c r="R649" i="5"/>
  <c r="J649" i="5"/>
  <c r="I617" i="5"/>
  <c r="H617" i="5"/>
  <c r="F617" i="5"/>
  <c r="X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20"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24" i="5"/>
  <c r="S52" i="5"/>
  <c r="S309" i="5"/>
  <c r="X589" i="5"/>
  <c r="X354" i="5"/>
  <c r="X597" i="5"/>
  <c r="S597" i="5"/>
  <c r="X505" i="5"/>
  <c r="X599" i="5"/>
  <c r="S599" i="5"/>
  <c r="X465" i="5"/>
  <c r="X462" i="5"/>
  <c r="X346" i="5"/>
  <c r="X140" i="5"/>
  <c r="X493" i="5"/>
  <c r="X502" i="5"/>
  <c r="X611" i="5"/>
  <c r="S611" i="5"/>
  <c r="X220" i="5"/>
  <c r="X398" i="5"/>
  <c r="X538" i="5"/>
  <c r="X577" i="5"/>
  <c r="X601" i="5"/>
  <c r="S601" i="5"/>
  <c r="X402" i="5"/>
  <c r="X340" i="5"/>
  <c r="X466" i="5"/>
  <c r="X521" i="5"/>
  <c r="X467" i="5"/>
  <c r="X486" i="5"/>
  <c r="X427" i="5"/>
  <c r="X472" i="5"/>
  <c r="X287" i="5"/>
  <c r="X407" i="5"/>
  <c r="X152" i="5"/>
  <c r="X180" i="5"/>
  <c r="X375" i="5"/>
  <c r="X232" i="5"/>
  <c r="X264" i="5"/>
  <c r="X296" i="5"/>
  <c r="X192" i="5"/>
  <c r="X410" i="5"/>
  <c r="X518" i="5"/>
  <c r="X176" i="5"/>
  <c r="X362" i="5"/>
  <c r="X522" i="5"/>
  <c r="X244" i="5"/>
  <c r="X276" i="5"/>
  <c r="X378" i="5"/>
  <c r="X567" i="5"/>
  <c r="X151" i="5"/>
  <c r="X596" i="5"/>
  <c r="X91" i="5"/>
  <c r="X281" i="5"/>
  <c r="X524" i="5"/>
  <c r="X496" i="5"/>
  <c r="X103" i="5"/>
  <c r="X578" i="5"/>
  <c r="X320" i="5"/>
  <c r="X212" i="5"/>
  <c r="X339" i="5"/>
  <c r="X454" i="5"/>
  <c r="X406" i="5"/>
  <c r="X188" i="5"/>
  <c r="X370" i="5"/>
  <c r="X565" i="5"/>
  <c r="X359" i="5"/>
  <c r="X366" i="5"/>
  <c r="X517" i="5"/>
  <c r="X328" i="5"/>
  <c r="X506" i="5"/>
  <c r="X591" i="5"/>
  <c r="X204" i="5"/>
  <c r="X595" i="5"/>
  <c r="X411" i="5"/>
  <c r="X439" i="5"/>
  <c r="X600" i="5"/>
  <c r="S600" i="5"/>
  <c r="X447" i="5"/>
  <c r="X251" i="5"/>
  <c r="X365" i="5"/>
  <c r="X423" i="5"/>
  <c r="X191" i="5"/>
  <c r="X243" i="5"/>
  <c r="X403" i="5"/>
  <c r="X108" i="5"/>
  <c r="X481" i="5"/>
  <c r="X112" i="5"/>
  <c r="X569" i="5"/>
  <c r="X168" i="5"/>
  <c r="X164" i="5"/>
  <c r="X446" i="5"/>
  <c r="X553" i="5"/>
  <c r="X308" i="5"/>
  <c r="X200" i="5"/>
  <c r="X316" i="5"/>
  <c r="X144" i="5"/>
  <c r="X208" i="5"/>
  <c r="X382" i="5"/>
  <c r="S382" i="5"/>
  <c r="X224" i="5"/>
  <c r="X256" i="5"/>
  <c r="X288" i="5"/>
  <c r="X367" i="5"/>
  <c r="X390" i="5"/>
  <c r="X525" i="5"/>
  <c r="X475" i="5"/>
  <c r="X490" i="5"/>
  <c r="X537" i="5"/>
  <c r="X116" i="5"/>
  <c r="X236" i="5"/>
  <c r="X268" i="5"/>
  <c r="X300" i="5"/>
  <c r="X469" i="5"/>
  <c r="X529" i="5"/>
  <c r="X431" i="5"/>
  <c r="X305" i="5"/>
  <c r="X277" i="5"/>
  <c r="X334" i="5"/>
  <c r="X297" i="5"/>
  <c r="X207" i="5"/>
  <c r="X194" i="5"/>
  <c r="X306" i="5"/>
  <c r="X592" i="5"/>
  <c r="X395" i="5"/>
  <c r="X115" i="5"/>
  <c r="X533" i="5"/>
  <c r="S533" i="5"/>
  <c r="X438" i="5"/>
  <c r="X485" i="5"/>
  <c r="X148" i="5"/>
  <c r="X458" i="5"/>
  <c r="X513" i="5"/>
  <c r="X609" i="5"/>
  <c r="X561" i="5"/>
  <c r="X386" i="5"/>
  <c r="X545" i="5"/>
  <c r="X575" i="5"/>
  <c r="X216" i="5"/>
  <c r="X534" i="5"/>
  <c r="X355" i="5"/>
  <c r="S355" i="5"/>
  <c r="X541" i="5"/>
  <c r="X588" i="5"/>
  <c r="X330" i="5"/>
  <c r="X391" i="5"/>
  <c r="X602" i="5"/>
  <c r="S602" i="5"/>
  <c r="X562" i="5"/>
  <c r="X262" i="5"/>
  <c r="X350" i="5"/>
  <c r="X573" i="5"/>
  <c r="X430" i="5"/>
  <c r="X587" i="5"/>
  <c r="X450" i="5"/>
  <c r="X497" i="5"/>
  <c r="X312" i="5"/>
  <c r="X156" i="5"/>
  <c r="X358" i="5"/>
  <c r="X434" i="5"/>
  <c r="X549" i="5"/>
  <c r="X124" i="5"/>
  <c r="X603" i="5"/>
  <c r="S603" i="5"/>
  <c r="X248" i="5"/>
  <c r="X280" i="5"/>
  <c r="X477" i="5"/>
  <c r="X184" i="5"/>
  <c r="X104" i="5"/>
  <c r="X228" i="5"/>
  <c r="X260" i="5"/>
  <c r="X292" i="5"/>
  <c r="X374" i="5"/>
  <c r="X394" i="5"/>
  <c r="X605" i="5"/>
  <c r="S605" i="5"/>
  <c r="X279" i="5"/>
  <c r="X163" i="5"/>
  <c r="X443" i="5"/>
  <c r="X102" i="5"/>
  <c r="X189" i="5"/>
  <c r="X128" i="5"/>
  <c r="X422" i="5"/>
  <c r="X571" i="5"/>
  <c r="X418" i="5"/>
  <c r="X172" i="5"/>
  <c r="X581" i="5"/>
  <c r="X554" i="5"/>
  <c r="X607" i="5"/>
  <c r="S607" i="5"/>
  <c r="X426" i="5"/>
  <c r="X489" i="5"/>
  <c r="X579" i="5"/>
  <c r="X557" i="5"/>
  <c r="X501" i="5"/>
  <c r="X342" i="5"/>
  <c r="X473" i="5"/>
  <c r="X442" i="5"/>
  <c r="X132" i="5"/>
  <c r="X324" i="5"/>
  <c r="X509" i="5"/>
  <c r="X303" i="5"/>
  <c r="X211" i="5"/>
  <c r="X435" i="5"/>
  <c r="X576" i="5"/>
  <c r="X43" i="5"/>
  <c r="X215" i="5"/>
  <c r="X580" i="5"/>
  <c r="X201" i="5"/>
  <c r="X556" i="5"/>
  <c r="X87" i="5"/>
  <c r="X314" i="5"/>
  <c r="S314" i="5"/>
  <c r="X463" i="5"/>
  <c r="X136" i="5"/>
  <c r="X474" i="5"/>
  <c r="X593" i="5"/>
  <c r="X414" i="5"/>
  <c r="X160" i="5"/>
  <c r="X460" i="5"/>
  <c r="X196" i="5"/>
  <c r="X240" i="5"/>
  <c r="X272" i="5"/>
  <c r="X585" i="5"/>
  <c r="X120" i="5"/>
  <c r="X252" i="5"/>
  <c r="X284" i="5"/>
  <c r="X583" i="5"/>
  <c r="X419" i="5"/>
  <c r="X261" i="5"/>
  <c r="X415" i="5"/>
  <c r="X293" i="5"/>
  <c r="X239" i="5"/>
  <c r="X608" i="5"/>
  <c r="X71" i="5"/>
  <c r="X265" i="5"/>
  <c r="X574" i="5"/>
  <c r="H39" i="6"/>
  <c r="D39" i="6"/>
  <c r="H26" i="6"/>
  <c r="H24" i="6"/>
  <c r="C24" i="6"/>
  <c r="H35" i="6"/>
  <c r="D35" i="6"/>
  <c r="H40" i="6"/>
  <c r="D40" i="6"/>
  <c r="H46" i="6"/>
  <c r="D46" i="6"/>
  <c r="H31" i="6"/>
  <c r="C31" i="6"/>
  <c r="C29" i="6"/>
  <c r="D29" i="6"/>
  <c r="H30" i="6"/>
  <c r="AB12" i="5"/>
  <c r="AB9" i="5"/>
  <c r="AB10" i="5"/>
  <c r="AB14" i="5"/>
  <c r="AB17" i="5"/>
  <c r="AB16" i="5"/>
  <c r="AB8" i="5"/>
  <c r="AB13" i="5"/>
  <c r="AB15" i="5"/>
  <c r="AB11" i="5"/>
  <c r="AB7" i="5"/>
  <c r="C69" i="6"/>
  <c r="H49" i="6"/>
  <c r="D49" i="6"/>
  <c r="H34" i="6"/>
  <c r="H32" i="6"/>
  <c r="C45" i="6"/>
  <c r="C51" i="6"/>
  <c r="D19" i="6"/>
  <c r="C19" i="6"/>
  <c r="K65" i="6"/>
  <c r="D24" i="6"/>
  <c r="X100" i="5"/>
  <c r="D27" i="6"/>
  <c r="C27" i="6"/>
  <c r="C36" i="6"/>
  <c r="C42" i="6"/>
  <c r="C40" i="6"/>
  <c r="C41" i="6"/>
  <c r="C20" i="6"/>
  <c r="D20" i="6"/>
  <c r="C2" i="6"/>
  <c r="B2" i="6"/>
  <c r="F57" i="6"/>
  <c r="H57" i="6"/>
  <c r="H54" i="6"/>
  <c r="F62" i="6"/>
  <c r="H62" i="6"/>
  <c r="F58" i="6"/>
  <c r="H58" i="6"/>
  <c r="F60" i="6"/>
  <c r="H60" i="6"/>
  <c r="F63" i="6"/>
  <c r="H63" i="6"/>
  <c r="F59" i="6"/>
  <c r="H59" i="6"/>
  <c r="F55" i="6"/>
  <c r="C37" i="6"/>
  <c r="D25" i="6"/>
  <c r="C25" i="6"/>
  <c r="D26" i="6"/>
  <c r="C26" i="6"/>
  <c r="D21" i="6"/>
  <c r="C21" i="6"/>
  <c r="D22" i="6"/>
  <c r="C22" i="6"/>
  <c r="H47" i="6"/>
  <c r="D47" i="6"/>
  <c r="C52" i="6"/>
  <c r="C50" i="6"/>
  <c r="C44"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8" i="6"/>
  <c r="H68" i="6"/>
  <c r="D68" i="6"/>
  <c r="C39" i="6"/>
  <c r="C35" i="6"/>
  <c r="C46" i="6"/>
  <c r="C34" i="6"/>
  <c r="D34" i="6"/>
  <c r="D31" i="6"/>
  <c r="C30" i="6"/>
  <c r="D30" i="6"/>
  <c r="C32" i="6"/>
  <c r="D32" i="6"/>
  <c r="R16" i="5"/>
  <c r="I16" i="5"/>
  <c r="H16" i="5"/>
  <c r="J16" i="5"/>
  <c r="F16" i="5"/>
  <c r="I10" i="5"/>
  <c r="F10" i="5"/>
  <c r="R10" i="5"/>
  <c r="J10" i="5"/>
  <c r="H10" i="5"/>
  <c r="H13" i="5"/>
  <c r="R13" i="5"/>
  <c r="J13" i="5"/>
  <c r="I13" i="5"/>
  <c r="F13" i="5"/>
  <c r="H7" i="5"/>
  <c r="R7" i="5"/>
  <c r="F7" i="5"/>
  <c r="I7" i="5"/>
  <c r="H17" i="5"/>
  <c r="I17" i="5"/>
  <c r="J17" i="5"/>
  <c r="R17" i="5"/>
  <c r="F17" i="5"/>
  <c r="G66" i="6"/>
  <c r="H66" i="6"/>
  <c r="C66" i="6"/>
  <c r="G67" i="6"/>
  <c r="H67" i="6"/>
  <c r="D67" i="6"/>
  <c r="G65" i="6"/>
  <c r="H65" i="6"/>
  <c r="C65" i="6"/>
  <c r="I12" i="5"/>
  <c r="J12" i="5"/>
  <c r="R12" i="5"/>
  <c r="F12" i="5"/>
  <c r="H12" i="5"/>
  <c r="H9" i="5"/>
  <c r="J9" i="5"/>
  <c r="I9" i="5"/>
  <c r="R9" i="5"/>
  <c r="F9" i="5"/>
  <c r="R8" i="5"/>
  <c r="H8" i="5"/>
  <c r="I8" i="5"/>
  <c r="F8" i="5"/>
  <c r="H15" i="5"/>
  <c r="J15" i="5"/>
  <c r="I15" i="5"/>
  <c r="F15" i="5"/>
  <c r="R15" i="5"/>
  <c r="H11" i="5"/>
  <c r="R11" i="5"/>
  <c r="J11" i="5"/>
  <c r="F11" i="5"/>
  <c r="I11" i="5"/>
  <c r="I14" i="5"/>
  <c r="R14" i="5"/>
  <c r="J14" i="5"/>
  <c r="H14" i="5"/>
  <c r="F14" i="5"/>
  <c r="C49" i="6"/>
  <c r="C47" i="6"/>
  <c r="C60" i="6"/>
  <c r="D60" i="6"/>
  <c r="D58" i="6"/>
  <c r="C58" i="6"/>
  <c r="D63" i="6"/>
  <c r="C63" i="6"/>
  <c r="C62" i="6"/>
  <c r="D62" i="6"/>
  <c r="C54" i="6"/>
  <c r="D54" i="6"/>
  <c r="D57" i="6"/>
  <c r="C57" i="6"/>
  <c r="F56" i="6"/>
  <c r="H56" i="6"/>
  <c r="H55" i="6"/>
  <c r="D59" i="6"/>
  <c r="C59" i="6"/>
  <c r="C68" i="6"/>
  <c r="X13" i="5"/>
  <c r="X10" i="5"/>
  <c r="D65" i="6"/>
  <c r="X9" i="5"/>
  <c r="X12" i="5"/>
  <c r="X14" i="5"/>
  <c r="X17" i="5"/>
  <c r="D66" i="6"/>
  <c r="C67" i="6"/>
  <c r="X11" i="5"/>
  <c r="X15" i="5"/>
  <c r="X8" i="5"/>
  <c r="X7" i="5"/>
  <c r="H69" i="6"/>
  <c r="H70" i="6"/>
  <c r="D2" i="6"/>
  <c r="X16" i="5"/>
  <c r="D55" i="6"/>
  <c r="C55" i="6"/>
  <c r="D56" i="6"/>
  <c r="C56" i="6"/>
  <c r="S17" i="5"/>
  <c r="S12" i="5"/>
  <c r="S16" i="5"/>
  <c r="S15" i="5"/>
  <c r="S13" i="5"/>
  <c r="S14" i="5"/>
  <c r="S10" i="5"/>
  <c r="S11" i="5"/>
  <c r="S8" i="5"/>
  <c r="S9" i="5"/>
  <c r="S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<sst xmlns="http://schemas.openxmlformats.org/spreadsheetml/2006/main" count="22332" uniqueCount="15827">
  <si>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</si>
  <si>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</si>
  <si>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</si>
  <si>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</si>
  <si>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</si>
  <si>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</si>
  <si>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</si>
  <si>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</si>
  <si>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</si>
  <si>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</si>
  <si>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</si>
  <si>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</si>
  <si>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</si>
  <si>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</si>
  <si>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</si>
  <si>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</si>
  <si>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</si>
  <si>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</si>
  <si>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</si>
  <si>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</si>
  <si>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</si>
  <si>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</si>
  <si>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</si>
  <si>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</si>
  <si>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</si>
  <si>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</si>
  <si>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</si>
  <si>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</si>
  <si>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</si>
  <si>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</si>
  <si>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</si>
  <si>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</si>
  <si>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</si>
  <si>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</si>
  <si>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</si>
  <si>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</si>
  <si>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</si>
  <si>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</si>
  <si>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</si>
  <si>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</si>
  <si>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</si>
  <si>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</si>
  <si>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</si>
  <si>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</si>
  <si>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</si>
  <si>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</si>
  <si>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</si>
  <si>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</si>
  <si>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</si>
  <si>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</si>
  <si>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</si>
  <si>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</si>
  <si>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</si>
  <si>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</si>
  <si>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</si>
  <si>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</si>
  <si>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</si>
  <si>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</si>
  <si>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</si>
  <si>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</si>
  <si>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</si>
  <si>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</si>
  <si>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</si>
  <si>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</si>
  <si>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</si>
  <si>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</si>
  <si>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</si>
  <si>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</si>
  <si>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</si>
  <si>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</si>
  <si>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</si>
  <si>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</si>
  <si>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</si>
  <si>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</si>
  <si>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</si>
  <si>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</si>
  <si>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</si>
  <si>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</si>
  <si>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</si>
  <si>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</si>
  <si>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</si>
  <si>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</si>
  <si>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</si>
  <si>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</si>
  <si>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</si>
  <si>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</si>
  <si>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</si>
  <si>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</si>
  <si>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</si>
  <si>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</si>
  <si>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</si>
  <si>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</si>
  <si>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</si>
  <si>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</si>
  <si>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</si>
  <si>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</si>
  <si>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</si>
  <si>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</si>
  <si>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</si>
  <si>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</si>
  <si>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</si>
  <si>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</si>
  <si>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</si>
  <si>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</si>
  <si>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</si>
  <si>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</si>
  <si>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</si>
  <si>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</si>
  <si>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</si>
  <si>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</si>
  <si>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</si>
  <si>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</si>
  <si>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</si>
  <si>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</si>
  <si>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</si>
  <si>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</si>
  <si>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</si>
  <si>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</si>
  <si>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</si>
  <si>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</si>
  <si>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</si>
  <si>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</si>
  <si>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</si>
  <si>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</si>
  <si>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</si>
  <si>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</si>
  <si>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</si>
  <si>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</si>
  <si>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</si>
  <si>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</si>
  <si>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</si>
  <si>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</si>
  <si>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</si>
  <si>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</si>
  <si>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</si>
  <si>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</si>
  <si>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</si>
  <si>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</si>
  <si>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</si>
  <si>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</si>
  <si>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</si>
  <si>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</si>
  <si>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</si>
  <si>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</si>
  <si>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</si>
  <si>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</si>
  <si>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</si>
  <si>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</si>
  <si>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</si>
  <si>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</si>
  <si>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</si>
  <si>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</si>
  <si>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</si>
  <si>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</si>
  <si>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</si>
  <si>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</si>
  <si>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</si>
  <si>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</si>
  <si>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</si>
  <si>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</si>
  <si>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</si>
  <si>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</si>
  <si>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</si>
  <si>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</si>
  <si>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</si>
  <si>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</si>
  <si>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</si>
  <si>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</si>
  <si>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</si>
  <si>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</si>
  <si>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</si>
  <si>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</si>
  <si>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</si>
  <si>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</si>
  <si>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</si>
  <si>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</si>
  <si>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</si>
  <si>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</si>
  <si>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</si>
  <si>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</si>
  <si>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</si>
  <si>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</si>
  <si>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</si>
  <si>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</si>
  <si>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</si>
  <si>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</si>
  <si>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</si>
  <si>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</si>
  <si>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</si>
  <si>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</si>
  <si>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</si>
  <si>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</si>
  <si>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</si>
  <si>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</si>
  <si>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</si>
  <si>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</si>
  <si>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</si>
  <si>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</si>
  <si>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</si>
  <si>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</si>
  <si>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</si>
  <si>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</si>
  <si>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</si>
  <si>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</si>
  <si>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</si>
  <si>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</si>
  <si>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</si>
  <si>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</si>
  <si>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</si>
  <si>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</si>
  <si>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</si>
  <si>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</si>
  <si>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</si>
  <si>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</si>
  <si>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</si>
  <si>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</si>
  <si>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</si>
  <si>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</si>
  <si>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</si>
  <si>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</si>
  <si>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</si>
  <si>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</si>
  <si>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</si>
  <si>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</si>
  <si>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</si>
  <si>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</si>
  <si>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</si>
  <si>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</si>
  <si>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</si>
  <si>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</si>
  <si>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</si>
  <si>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</si>
  <si>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</si>
  <si>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</si>
  <si>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</si>
  <si>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</si>
  <si>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</si>
  <si>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</si>
  <si>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</si>
  <si>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</si>
  <si>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</si>
  <si>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</si>
  <si>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</si>
  <si>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</si>
  <si>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</si>
  <si>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</si>
  <si>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</si>
  <si>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</si>
  <si>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</si>
  <si>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</si>
  <si>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</si>
  <si>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</si>
  <si>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</si>
  <si>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</si>
  <si>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</si>
  <si>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</si>
  <si>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</si>
  <si>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</si>
  <si>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</si>
  <si>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</si>
  <si>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</si>
  <si>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</si>
  <si>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</si>
  <si>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</si>
  <si>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</si>
  <si>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</si>
  <si>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</si>
  <si>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</si>
  <si>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</si>
  <si>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</si>
  <si>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</si>
  <si>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</si>
  <si>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</si>
  <si>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</si>
  <si>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</si>
  <si>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</si>
  <si>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</si>
  <si>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</si>
  <si>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</si>
  <si>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</si>
  <si>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</si>
  <si>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</si>
  <si>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</si>
  <si>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</si>
  <si>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</si>
  <si>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</si>
  <si>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</si>
  <si>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</si>
  <si>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</si>
  <si>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</si>
  <si>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</si>
  <si>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</si>
  <si>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</si>
  <si>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</si>
  <si>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</si>
  <si>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</si>
  <si>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</si>
  <si>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</si>
  <si>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</si>
  <si>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</si>
  <si>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</si>
  <si>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</si>
  <si>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</si>
  <si>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</si>
  <si>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</si>
  <si>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</si>
  <si>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</si>
  <si>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</si>
  <si>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</si>
  <si>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</si>
  <si>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</si>
  <si>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</si>
  <si>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</si>
  <si>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</si>
  <si>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</si>
  <si>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</si>
  <si>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</si>
  <si>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</si>
  <si>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</si>
  <si>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</si>
  <si>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</si>
  <si>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</si>
  <si>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</si>
  <si>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</si>
  <si>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</si>
  <si>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</si>
  <si>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</si>
  <si>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</si>
  <si>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</si>
  <si>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</si>
  <si>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</si>
  <si>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</si>
  <si>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</si>
  <si>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</si>
  <si>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</si>
  <si>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</si>
  <si>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</si>
  <si>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</si>
  <si>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</si>
  <si>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</si>
  <si>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</si>
  <si>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</si>
  <si>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</si>
  <si>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</si>
  <si>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</si>
  <si>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</si>
  <si>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</si>
  <si>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</si>
  <si>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</si>
  <si>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</si>
  <si>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</si>
  <si>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</si>
  <si>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</si>
  <si>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</si>
  <si>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</si>
  <si>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</si>
  <si>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</si>
  <si>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</si>
  <si>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</si>
  <si>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</si>
  <si>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</si>
  <si>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</si>
  <si>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</si>
  <si>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</si>
  <si>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</si>
  <si>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</si>
  <si>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</si>
  <si>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</si>
  <si>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</si>
  <si>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</si>
  <si>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</si>
  <si>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</si>
  <si>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</si>
  <si>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</si>
  <si>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</si>
  <si>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</si>
  <si>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</si>
  <si>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</si>
  <si>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</si>
  <si>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</si>
  <si>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</si>
  <si>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</si>
  <si>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</si>
  <si>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</si>
  <si>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</si>
  <si>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</si>
  <si>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</si>
  <si>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</si>
  <si>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</si>
  <si>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</si>
  <si>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</si>
  <si>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</si>
  <si>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</si>
  <si>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</si>
  <si>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</si>
  <si>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</si>
  <si>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</si>
  <si>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</si>
  <si>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</si>
  <si>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</si>
  <si>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</si>
  <si>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</si>
  <si>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</si>
  <si>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</si>
  <si>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</si>
  <si>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</si>
  <si>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</si>
  <si>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</si>
  <si>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</si>
  <si>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</si>
  <si>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</si>
  <si>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</si>
  <si>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</si>
  <si>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</si>
  <si>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</si>
  <si>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</si>
  <si>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</si>
  <si>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</si>
  <si>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</si>
  <si>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</si>
  <si>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</si>
  <si>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</si>
  <si>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</si>
  <si>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</si>
  <si>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</si>
  <si>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</si>
  <si>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</si>
  <si>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</si>
  <si>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</si>
  <si>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</si>
  <si>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</si>
  <si>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</si>
  <si>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</si>
  <si>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</si>
  <si>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</si>
  <si>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</si>
  <si>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</si>
  <si>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</si>
  <si>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</si>
  <si>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</si>
  <si>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</si>
  <si>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</si>
  <si>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</si>
  <si>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</si>
  <si>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</si>
  <si>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</si>
  <si>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</si>
  <si>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</si>
  <si>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</si>
  <si>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</si>
  <si>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</si>
  <si>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</si>
  <si>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</si>
  <si>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</si>
  <si>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</si>
  <si>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</si>
  <si>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</si>
  <si>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</si>
  <si>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</si>
  <si>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</si>
  <si>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</si>
  <si>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</si>
  <si>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</si>
  <si>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</si>
  <si>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</si>
  <si>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</si>
  <si>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</si>
  <si>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</si>
  <si>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</si>
  <si>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</si>
  <si>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</si>
  <si>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</si>
  <si>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</si>
  <si>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</si>
  <si>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</si>
  <si>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</si>
  <si>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</si>
  <si>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</si>
  <si>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</si>
  <si>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</si>
  <si>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</si>
  <si>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</si>
  <si>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</si>
  <si>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</si>
  <si>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</si>
  <si>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</si>
  <si>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</si>
  <si>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</si>
  <si>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</si>
  <si>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</si>
  <si>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</si>
  <si>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</si>
  <si>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</si>
  <si>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</si>
  <si>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</si>
  <si>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</si>
  <si>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</si>
  <si>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</si>
  <si>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</si>
  <si>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</si>
  <si>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</si>
  <si>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</si>
  <si>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</si>
  <si>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</si>
  <si>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</si>
  <si>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</si>
  <si>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</si>
  <si>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</si>
  <si>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</si>
  <si>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</si>
  <si>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</si>
  <si>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</si>
  <si>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</si>
  <si>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</si>
  <si>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</si>
  <si>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</si>
  <si>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</si>
  <si>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</si>
  <si>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</si>
  <si>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</si>
  <si>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</si>
  <si>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</si>
  <si>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</si>
  <si>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</si>
  <si>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</si>
  <si>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</si>
  <si>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</si>
  <si>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</si>
  <si>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</si>
  <si>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</si>
  <si>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</si>
  <si>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</si>
  <si>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</si>
  <si>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</si>
  <si>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</si>
  <si>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</si>
  <si>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</si>
  <si>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</si>
  <si>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</si>
  <si>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</si>
  <si>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</si>
  <si>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</si>
  <si>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</si>
  <si>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</si>
  <si>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</si>
  <si>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</si>
  <si>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</si>
  <si>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</si>
  <si>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</si>
  <si>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</si>
  <si>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</si>
  <si>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</si>
  <si>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</si>
  <si>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</si>
  <si>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</si>
  <si>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</si>
  <si>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</si>
  <si>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</si>
  <si>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</si>
  <si>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</si>
  <si>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</si>
  <si>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</si>
  <si>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</si>
  <si>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</si>
  <si>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</si>
  <si>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</si>
  <si>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</si>
  <si>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</si>
  <si>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</si>
  <si>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</si>
  <si>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</si>
  <si>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</si>
  <si>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</si>
  <si>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</si>
  <si>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</si>
  <si>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</si>
  <si>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</si>
  <si>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</si>
  <si>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</si>
  <si>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</si>
  <si>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</si>
  <si>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</si>
  <si>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</si>
  <si>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</si>
  <si>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</si>
  <si>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</si>
  <si>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</si>
  <si>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</si>
  <si>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</si>
  <si>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</si>
  <si>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</si>
  <si>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</si>
  <si>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</si>
  <si>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</si>
  <si>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</si>
  <si>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</si>
  <si>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</si>
  <si>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</si>
  <si>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</si>
  <si>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</si>
  <si>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</si>
  <si>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</si>
  <si>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</si>
  <si>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</si>
  <si>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</si>
  <si>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</si>
  <si>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</si>
  <si>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</si>
  <si>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</si>
  <si>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</si>
  <si>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</si>
  <si>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</si>
  <si>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</si>
  <si>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</si>
  <si>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</si>
  <si>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</si>
  <si>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</si>
  <si>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</si>
  <si>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</si>
  <si>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</si>
  <si>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</si>
  <si>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</si>
  <si>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</si>
  <si>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</si>
  <si>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</si>
  <si>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</si>
  <si>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</si>
  <si>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</si>
  <si>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</si>
  <si>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</si>
  <si>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</si>
  <si>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</si>
  <si>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</si>
  <si>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</si>
  <si>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</si>
  <si>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</si>
  <si>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</si>
  <si>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</si>
  <si>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</si>
  <si>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</si>
  <si>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</si>
  <si>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</si>
  <si>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</si>
  <si>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</si>
  <si>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</si>
  <si>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</si>
  <si>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</si>
  <si>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</si>
  <si>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</si>
  <si>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</si>
  <si>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</si>
  <si>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</si>
  <si>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</si>
  <si>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</si>
  <si>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</si>
  <si>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</si>
  <si>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</si>
  <si>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</si>
  <si>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</si>
  <si>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</si>
  <si>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</si>
  <si>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</si>
  <si>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</si>
  <si>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</si>
  <si>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</si>
  <si>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</si>
  <si>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</si>
  <si>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</si>
  <si>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</si>
  <si>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</si>
  <si>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</si>
  <si>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</si>
  <si>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</si>
  <si>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</si>
  <si>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</si>
  <si>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</si>
  <si>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</si>
  <si>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</si>
  <si>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</si>
  <si>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</si>
  <si>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</si>
  <si>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</si>
  <si>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</si>
  <si>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</si>
  <si>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</si>
  <si>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</si>
  <si>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</si>
  <si>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</si>
  <si>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</si>
  <si>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</si>
  <si>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</si>
  <si>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</si>
  <si>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</si>
  <si>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</si>
  <si>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</si>
  <si>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</si>
  <si>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</si>
  <si>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</si>
  <si>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</si>
  <si>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</si>
  <si>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</si>
  <si>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</si>
  <si>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</si>
  <si>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</si>
  <si>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</si>
  <si>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</si>
  <si>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</si>
  <si>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</si>
  <si>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</si>
  <si>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</si>
  <si>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</si>
  <si>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</si>
  <si>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</si>
  <si>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</si>
  <si>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</si>
  <si>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</si>
  <si>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</si>
  <si>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</si>
  <si>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</si>
  <si>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</si>
  <si>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</si>
  <si>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</si>
  <si>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</si>
  <si>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</si>
  <si>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</si>
  <si>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</si>
  <si>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</si>
  <si>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</si>
  <si>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</si>
  <si>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</si>
  <si>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</si>
  <si>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</si>
  <si>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</si>
  <si>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</si>
  <si>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</si>
  <si>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</si>
  <si>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</si>
  <si>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</si>
  <si>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</si>
  <si>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</si>
  <si>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</si>
  <si>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</si>
  <si>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</si>
  <si>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</si>
  <si>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</si>
  <si>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</si>
  <si>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</si>
  <si>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</si>
  <si>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</si>
  <si>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</si>
  <si>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</si>
  <si>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</si>
  <si>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</si>
  <si>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</si>
  <si>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</si>
  <si>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</si>
  <si>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</si>
  <si>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</si>
  <si>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</si>
  <si>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</si>
  <si>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</si>
  <si>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</si>
  <si>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</si>
  <si>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</si>
  <si>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</si>
  <si>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</si>
  <si>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</si>
  <si>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</si>
  <si>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</si>
  <si>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</si>
  <si>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</si>
  <si>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</si>
  <si>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</si>
  <si>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</si>
  <si>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</si>
  <si>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</si>
  <si>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</si>
  <si>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</si>
  <si>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</si>
  <si>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</si>
  <si>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</si>
  <si>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</si>
  <si>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</si>
  <si>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</si>
  <si>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</si>
  <si>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</si>
  <si>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</si>
  <si>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</si>
  <si>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</si>
  <si>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</si>
  <si>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</si>
  <si>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</si>
  <si>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</si>
  <si>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</si>
  <si>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</si>
  <si>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</si>
  <si>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</si>
  <si>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</si>
  <si>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</si>
  <si>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</si>
  <si>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</si>
  <si>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</si>
  <si>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</si>
  <si>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</si>
  <si>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</si>
  <si>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</si>
  <si>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</si>
  <si>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</si>
  <si>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</si>
  <si>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</si>
  <si>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</si>
  <si>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</si>
  <si>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</si>
  <si>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</si>
  <si>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</si>
  <si>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</si>
  <si>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</si>
  <si>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</si>
  <si>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</si>
  <si>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</si>
  <si>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</si>
  <si>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</si>
  <si>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</si>
  <si>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</si>
  <si>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</si>
  <si>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</si>
  <si>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</si>
  <si>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</si>
  <si>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</si>
  <si>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</si>
  <si>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</si>
  <si>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</si>
  <si>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</si>
  <si>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</si>
  <si>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</si>
  <si>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</si>
  <si>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</si>
  <si>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</si>
  <si>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</si>
  <si>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</si>
  <si>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</si>
  <si>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</si>
  <si>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</si>
  <si>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</si>
  <si>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</si>
  <si>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</si>
  <si>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</si>
  <si>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</si>
  <si>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</si>
  <si>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</si>
  <si>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</si>
  <si>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</si>
  <si>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</si>
  <si>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</si>
  <si>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</si>
  <si>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</si>
  <si>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</si>
  <si>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</si>
  <si>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</si>
  <si>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</si>
  <si>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</si>
  <si>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</si>
  <si>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</si>
  <si>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</si>
  <si>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</si>
  <si>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</si>
  <si>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</si>
  <si>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</si>
  <si>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</si>
  <si>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</si>
  <si>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</si>
  <si>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</si>
  <si>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</si>
  <si>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</si>
  <si>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</si>
  <si>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</si>
  <si>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</si>
  <si>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</si>
  <si>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</si>
  <si>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</si>
  <si>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</si>
  <si>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</si>
  <si>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</si>
  <si>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</si>
  <si>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</si>
  <si>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</si>
  <si>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</si>
  <si>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</si>
  <si>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</si>
  <si>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</si>
  <si>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</si>
  <si>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</si>
  <si>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</si>
  <si>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</si>
  <si>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</si>
  <si>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</si>
  <si>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</si>
  <si>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</si>
  <si>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</si>
  <si>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</si>
  <si>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</si>
  <si>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</si>
  <si>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</si>
  <si>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</si>
  <si>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</si>
  <si>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</si>
  <si>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</si>
  <si>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</si>
  <si>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</si>
  <si>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</si>
  <si>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</si>
  <si>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</si>
  <si>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</si>
  <si>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</si>
  <si>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</si>
  <si>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</si>
  <si>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</si>
  <si>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</si>
  <si>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</si>
  <si>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</si>
  <si>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</si>
  <si>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</si>
  <si>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</si>
  <si>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</si>
  <si>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</si>
  <si>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</si>
  <si>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</si>
  <si>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</si>
  <si>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</si>
  <si>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</si>
  <si>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</si>
  <si>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</si>
  <si>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</si>
  <si>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</si>
  <si>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</si>
  <si>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</si>
  <si>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</si>
  <si>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</si>
  <si>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</si>
  <si>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</si>
  <si>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</si>
  <si>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</si>
  <si>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</si>
  <si>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</si>
  <si>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</si>
  <si>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</si>
  <si>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</si>
  <si>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</si>
  <si>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</si>
  <si>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</si>
  <si>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</si>
  <si>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</si>
  <si>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</si>
  <si>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</si>
  <si>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</si>
  <si>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</si>
  <si>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</si>
  <si>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</si>
  <si>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</si>
  <si>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</si>
  <si>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</si>
  <si>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</si>
  <si>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</si>
  <si>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</si>
  <si>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</si>
  <si>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</si>
  <si>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</si>
  <si>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</si>
  <si>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</si>
  <si>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</si>
  <si>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</si>
  <si>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</si>
  <si>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</si>
  <si>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</si>
  <si>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</si>
  <si>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</si>
  <si>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</si>
  <si>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</si>
  <si>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</si>
  <si>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</si>
  <si>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</si>
  <si>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</si>
  <si>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</si>
  <si>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</si>
  <si>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</si>
  <si>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</si>
  <si>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</si>
  <si>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</si>
  <si>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</si>
  <si>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</si>
  <si>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</si>
  <si>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</si>
  <si>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</si>
  <si>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</si>
  <si>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</si>
  <si>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</si>
  <si>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</si>
  <si>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</si>
  <si>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</si>
  <si>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</si>
  <si>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</si>
  <si>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</si>
  <si>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</si>
  <si>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</si>
  <si>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</si>
  <si>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</si>
  <si>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</si>
  <si>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</si>
  <si>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</si>
  <si>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</si>
  <si>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</si>
  <si>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</si>
  <si>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</si>
  <si>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</si>
  <si>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</si>
  <si>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</si>
  <si>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</si>
  <si>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</si>
  <si>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</si>
  <si>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</si>
  <si>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</si>
  <si>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</si>
  <si>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</si>
  <si>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</si>
  <si>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</si>
  <si>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</si>
  <si>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</si>
  <si>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</si>
  <si>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</si>
  <si>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</si>
  <si>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</si>
  <si>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</si>
  <si>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</si>
  <si>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</si>
  <si>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</si>
  <si>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</si>
  <si>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</si>
  <si>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</si>
  <si>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</si>
  <si>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</si>
  <si>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</si>
  <si>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</si>
  <si>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</si>
  <si>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</si>
  <si>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</si>
  <si>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</si>
  <si>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</si>
  <si>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</si>
  <si>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</si>
  <si>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</si>
  <si>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</si>
  <si>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</si>
  <si>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</si>
  <si>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</si>
  <si>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</si>
  <si>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</si>
  <si>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</si>
  <si>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</si>
  <si>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</si>
  <si>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</si>
  <si>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</si>
  <si>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</si>
  <si>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</si>
  <si>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</si>
  <si>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</si>
  <si>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</si>
  <si>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</si>
  <si>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</si>
  <si>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</si>
  <si>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</si>
  <si>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</si>
  <si>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</si>
  <si>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</si>
  <si>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</si>
  <si>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</si>
  <si>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</si>
  <si>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</si>
  <si>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</si>
  <si>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</si>
  <si>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</si>
  <si>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</si>
  <si>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</si>
  <si>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</si>
  <si>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</si>
  <si>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</si>
  <si>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</si>
  <si>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</si>
  <si>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</si>
  <si>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</si>
  <si>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</si>
  <si>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</si>
  <si>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</si>
  <si>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</si>
  <si>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</si>
  <si>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</si>
  <si>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</si>
  <si>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</si>
  <si>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</si>
  <si>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</si>
  <si>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</si>
  <si>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</si>
  <si>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</si>
  <si>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</si>
  <si>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</si>
  <si>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</si>
  <si>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</si>
  <si>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</si>
  <si>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</si>
  <si>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</si>
  <si>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</si>
  <si>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</si>
  <si>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</si>
  <si>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</si>
  <si>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</si>
  <si>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</si>
  <si>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</si>
  <si>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</si>
  <si>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</si>
  <si>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</si>
  <si>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</si>
  <si>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</si>
  <si>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</si>
  <si>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</si>
  <si>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</si>
  <si>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</si>
  <si>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</si>
  <si>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</si>
  <si>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</si>
  <si>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</si>
  <si>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</si>
  <si>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</si>
  <si>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</si>
  <si>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</si>
  <si>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</si>
  <si>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</si>
  <si>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</si>
  <si>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</si>
  <si>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</si>
  <si>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</si>
  <si>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</si>
  <si>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</si>
  <si>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</si>
  <si>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</si>
  <si>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</si>
  <si>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</si>
  <si>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</si>
  <si>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</si>
  <si>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</si>
  <si>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</si>
  <si>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</si>
  <si>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</si>
  <si>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</si>
  <si>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</si>
  <si>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</si>
  <si>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</si>
  <si>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</si>
  <si>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</si>
  <si>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</si>
  <si>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</si>
  <si>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</si>
  <si>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</si>
  <si>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</si>
  <si>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</si>
  <si>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</si>
  <si>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</si>
  <si>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</si>
  <si>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</si>
  <si>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</si>
  <si>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</si>
  <si>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</si>
  <si>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</si>
  <si>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</si>
  <si>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</si>
  <si>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</si>
  <si>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</si>
  <si>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</si>
  <si>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</si>
  <si>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</si>
  <si>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</si>
  <si>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</si>
  <si>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</si>
  <si>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</si>
  <si>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</si>
  <si>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</si>
  <si>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</si>
  <si>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</si>
  <si>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</si>
  <si>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</si>
  <si>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</si>
  <si>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</si>
  <si>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</si>
  <si>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</si>
  <si>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</si>
  <si>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</si>
  <si>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</si>
  <si>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</si>
  <si>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</si>
  <si>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</si>
  <si>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</si>
  <si>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</si>
  <si>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</si>
  <si>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</si>
  <si>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</si>
  <si>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</si>
  <si>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</si>
  <si>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</si>
  <si>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</si>
  <si>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</si>
  <si>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</si>
  <si>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</si>
  <si>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</si>
  <si>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</si>
  <si>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</si>
  <si>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</si>
  <si>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</si>
  <si>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</si>
  <si>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</si>
  <si>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</si>
  <si>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</si>
  <si>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</si>
  <si>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</si>
  <si>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</si>
  <si>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</si>
  <si>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</si>
  <si>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</si>
  <si>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</si>
  <si>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</si>
  <si>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</si>
  <si>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</si>
  <si>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</si>
  <si>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</si>
  <si>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</si>
  <si>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</si>
  <si>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</si>
  <si>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</si>
  <si>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</si>
  <si>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</si>
  <si>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</si>
  <si>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</si>
  <si>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</si>
  <si>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</si>
  <si>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</si>
  <si>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</si>
  <si>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</si>
  <si>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</si>
  <si>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</si>
  <si>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</si>
  <si>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</si>
  <si>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</si>
  <si>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</si>
  <si>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</si>
  <si>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</si>
  <si>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</si>
  <si>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</si>
  <si>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</si>
  <si>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</si>
  <si>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</si>
  <si>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</si>
  <si>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</si>
  <si>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</si>
  <si>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</si>
  <si>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</si>
  <si>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</si>
  <si>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</si>
  <si>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</si>
  <si>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</si>
  <si>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</si>
  <si>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</si>
  <si>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</si>
  <si>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</si>
  <si>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</si>
  <si>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</si>
  <si>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</si>
  <si>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</si>
  <si>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</si>
  <si>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</si>
  <si>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</si>
  <si>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</si>
  <si>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</si>
  <si>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</si>
  <si>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</si>
  <si>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</si>
  <si>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</si>
  <si>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</si>
  <si>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</si>
  <si>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</si>
  <si>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</si>
  <si>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</si>
  <si>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</si>
  <si>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</si>
  <si>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</si>
  <si>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</si>
  <si>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</si>
  <si>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</si>
  <si>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</si>
  <si>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</si>
  <si>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</si>
  <si>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</si>
  <si>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</si>
  <si>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</si>
  <si>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</si>
  <si>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</si>
  <si>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</si>
  <si>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</si>
  <si>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</si>
  <si>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</si>
  <si>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</si>
  <si>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</si>
  <si>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</si>
  <si>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</si>
  <si>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</si>
  <si>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</si>
  <si>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</si>
  <si>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</si>
  <si>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</si>
  <si>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</si>
  <si>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</si>
  <si>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</si>
  <si>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</si>
  <si>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</si>
  <si>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</si>
  <si>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</si>
  <si>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</si>
  <si>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</si>
  <si>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</si>
  <si>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</si>
  <si>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</si>
  <si>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</si>
  <si>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</si>
  <si>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</si>
  <si>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</si>
  <si>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</si>
  <si>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</si>
  <si>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</si>
  <si>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</si>
  <si>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</si>
  <si>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</si>
  <si>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</si>
  <si>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</si>
  <si>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</si>
  <si>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</si>
  <si>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</si>
  <si>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</si>
  <si>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</si>
  <si>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</si>
  <si>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</si>
  <si>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</si>
  <si>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</si>
  <si>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</si>
  <si>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</si>
  <si>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</si>
  <si>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</si>
  <si>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</si>
  <si>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</si>
  <si>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</si>
  <si>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</si>
  <si>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</si>
  <si>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</si>
  <si>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</si>
  <si>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</si>
  <si>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</si>
  <si>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</si>
  <si>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</si>
  <si>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</si>
  <si>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</si>
  <si>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</si>
  <si>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</si>
  <si>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</si>
  <si>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</si>
  <si>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</si>
  <si>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</si>
  <si>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</si>
  <si>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</si>
  <si>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</si>
  <si>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</si>
  <si>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</si>
  <si>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</si>
  <si>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</si>
  <si>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</si>
  <si>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</si>
  <si>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</si>
  <si>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</si>
  <si>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</si>
  <si>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</si>
  <si>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</si>
  <si>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</si>
  <si>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</si>
  <si>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</si>
  <si>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</si>
  <si>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</si>
  <si>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</si>
  <si>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</si>
  <si>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</si>
  <si>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</si>
  <si>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</si>
  <si>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</si>
  <si>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</si>
  <si>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</si>
  <si>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</si>
  <si>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</si>
  <si>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</si>
  <si>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</si>
  <si>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</si>
  <si>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</si>
  <si>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</si>
  <si>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</si>
  <si>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</si>
  <si>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</si>
  <si>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</si>
  <si>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</si>
  <si>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</si>
  <si>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</si>
  <si>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</si>
  <si>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</si>
  <si>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</si>
  <si>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</si>
  <si>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</si>
  <si>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</si>
  <si>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</si>
  <si>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</si>
  <si>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</si>
  <si>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</si>
  <si>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</si>
  <si>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</si>
  <si>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</si>
  <si>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</si>
  <si>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</si>
  <si>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</si>
  <si>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</si>
  <si>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</si>
  <si>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</si>
  <si>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</si>
  <si>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</si>
  <si>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</si>
  <si>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</si>
  <si>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</si>
  <si>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</si>
  <si>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</si>
  <si>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</si>
  <si>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</si>
  <si>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</si>
  <si>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</si>
  <si>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</si>
  <si>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</si>
  <si>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</si>
  <si>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</si>
  <si>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</si>
  <si>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</si>
  <si>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</si>
  <si>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</si>
  <si>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</si>
  <si>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</si>
  <si>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</si>
  <si>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</si>
  <si>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</si>
  <si>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</si>
  <si>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</si>
  <si>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</si>
  <si>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</si>
  <si>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</si>
  <si>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</si>
  <si>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</si>
  <si>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</si>
  <si>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</si>
  <si>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</si>
  <si>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</si>
  <si>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</si>
  <si>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</si>
  <si>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</si>
  <si>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</si>
  <si>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</si>
  <si>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</si>
  <si>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</si>
  <si>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</si>
  <si>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</si>
  <si>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</si>
  <si>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</si>
  <si>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</si>
  <si>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</si>
  <si>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</si>
  <si>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</si>
  <si>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</si>
  <si>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</si>
  <si>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</si>
  <si>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</si>
  <si>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</si>
  <si>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</si>
  <si>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</si>
  <si>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</si>
  <si>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</si>
  <si>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</si>
  <si>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</si>
  <si>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</si>
  <si>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</si>
  <si>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</si>
  <si>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</si>
  <si>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</si>
  <si>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</si>
  <si>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</si>
  <si>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</si>
  <si>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</si>
  <si>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</si>
  <si>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</si>
  <si>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</si>
  <si>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</si>
  <si>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</si>
  <si>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</si>
  <si>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</si>
  <si>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</si>
  <si>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</si>
  <si>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</si>
  <si>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</si>
  <si>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</si>
  <si>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</si>
  <si>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</si>
  <si>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</si>
  <si>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</si>
  <si>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</si>
  <si>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</si>
  <si>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</si>
  <si>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</si>
  <si>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</si>
  <si>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</si>
  <si>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</si>
  <si>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</si>
  <si>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</si>
  <si>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</si>
  <si>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</si>
  <si>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</si>
  <si>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</si>
  <si>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</si>
  <si>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</si>
  <si>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</si>
  <si>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</si>
  <si>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</si>
  <si>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</si>
  <si>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</si>
  <si>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</si>
  <si>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</si>
  <si>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</si>
  <si>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</si>
  <si>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</si>
  <si>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</si>
  <si>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</si>
  <si>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</si>
  <si>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</si>
  <si>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</si>
  <si>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</si>
  <si>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</si>
  <si>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</si>
  <si>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</si>
  <si>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</si>
  <si>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</si>
  <si>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</si>
  <si>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</si>
  <si>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</si>
  <si>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</si>
  <si>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</si>
  <si>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</si>
  <si>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</si>
  <si>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</si>
  <si>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</si>
  <si>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</si>
  <si>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</si>
  <si>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</si>
  <si>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</si>
  <si>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</si>
  <si>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</si>
  <si>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</si>
  <si>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</si>
  <si>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</si>
  <si>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</si>
  <si>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</si>
  <si>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</si>
  <si>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</si>
  <si>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</si>
  <si>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</si>
  <si>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</si>
  <si>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</si>
  <si>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</si>
  <si>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</si>
  <si>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</si>
  <si>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</si>
  <si>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</si>
  <si>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</si>
  <si>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</si>
  <si>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</si>
  <si>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</si>
  <si>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</si>
  <si>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</si>
  <si>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</si>
  <si>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</si>
  <si>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</si>
  <si>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</si>
  <si>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</si>
  <si>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</si>
  <si>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</si>
  <si>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</si>
  <si>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</si>
  <si>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</si>
  <si>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</si>
  <si>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</si>
  <si>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</si>
  <si>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</si>
  <si>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</si>
  <si>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</si>
  <si>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</si>
  <si>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</si>
  <si>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</si>
  <si>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</si>
  <si>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</si>
  <si>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</si>
  <si>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</si>
  <si>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</si>
  <si>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</si>
  <si>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</si>
  <si>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</si>
  <si>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</si>
  <si>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</si>
  <si>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</si>
  <si>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</si>
  <si>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</si>
  <si>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</si>
  <si>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</si>
  <si>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</si>
  <si>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</si>
  <si>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</si>
  <si>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</si>
  <si>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</si>
  <si>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</si>
  <si>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</si>
  <si>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</si>
  <si>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</si>
  <si>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</si>
  <si>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</si>
  <si>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</si>
  <si>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</si>
  <si>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</si>
  <si>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</si>
  <si>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</si>
  <si>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</si>
  <si>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</si>
  <si>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</si>
  <si>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</si>
  <si>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</si>
  <si>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</si>
  <si>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</si>
  <si>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</si>
  <si>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</si>
  <si>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</si>
  <si>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</si>
  <si>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</si>
  <si>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</si>
  <si>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</si>
  <si>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</si>
  <si>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</si>
  <si>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</si>
  <si>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</si>
  <si>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</si>
  <si>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</si>
  <si>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</si>
  <si>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</si>
  <si>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</si>
  <si>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</si>
  <si>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</si>
  <si>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</si>
  <si>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</si>
  <si>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</si>
  <si>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</si>
  <si>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</si>
  <si>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</si>
  <si>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</si>
  <si>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</si>
  <si>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</si>
  <si>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</si>
  <si>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</si>
  <si>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</si>
  <si>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</si>
  <si>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</si>
  <si>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</si>
  <si>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</si>
  <si>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</si>
  <si>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</si>
  <si>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</si>
  <si>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</si>
  <si>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</si>
  <si>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</si>
  <si>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</si>
  <si>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</si>
  <si>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</si>
  <si>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</si>
  <si>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</si>
  <si>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</si>
  <si>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</si>
  <si>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</si>
  <si>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</si>
  <si>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</si>
  <si>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</si>
  <si>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</si>
  <si>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</si>
  <si>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</si>
  <si>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</si>
  <si>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</si>
  <si>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</si>
  <si>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</si>
  <si>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</si>
  <si>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</si>
  <si>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</si>
  <si>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</si>
  <si>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</si>
  <si>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</si>
  <si>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</si>
  <si>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</si>
  <si>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</si>
  <si>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</si>
  <si>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</si>
  <si>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</si>
  <si>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</si>
  <si>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</si>
  <si>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</si>
  <si>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</si>
  <si>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</si>
  <si>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</si>
  <si>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</si>
  <si>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</si>
  <si>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</si>
  <si>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</si>
  <si>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</si>
  <si>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</si>
  <si>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</si>
  <si>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</si>
  <si>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</si>
  <si>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</si>
  <si>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</si>
  <si>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</si>
  <si>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</si>
  <si>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</si>
  <si>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</si>
  <si>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</si>
  <si>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</si>
  <si>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</si>
  <si>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</si>
  <si>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</si>
  <si>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</si>
  <si>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</si>
  <si>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</si>
  <si>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</si>
  <si>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</si>
  <si>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</si>
  <si>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</si>
  <si>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</si>
  <si>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</si>
  <si>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</si>
  <si>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</si>
  <si>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</si>
  <si>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</si>
  <si>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</si>
  <si>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</si>
  <si>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</si>
  <si>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</si>
  <si>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</si>
  <si>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</si>
  <si>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</si>
  <si>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</si>
  <si>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</si>
  <si>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</si>
  <si>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</si>
  <si>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</si>
  <si>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</si>
  <si>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</si>
  <si>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</si>
  <si>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</si>
  <si>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</si>
  <si>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</si>
  <si>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</si>
  <si>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</si>
  <si>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</si>
  <si>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</si>
  <si>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</si>
  <si>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</si>
  <si>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</si>
  <si>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</si>
  <si>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</si>
  <si>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</si>
  <si>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</si>
  <si>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</si>
  <si>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</si>
  <si>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</si>
  <si>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</si>
  <si>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</si>
  <si>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</si>
  <si>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</si>
  <si>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</si>
  <si>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</si>
  <si>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</si>
  <si>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</si>
  <si>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</si>
  <si>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</si>
  <si>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</si>
  <si>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</si>
  <si>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</si>
  <si>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</si>
  <si>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</si>
  <si>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</si>
  <si>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</si>
  <si>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</si>
  <si>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</si>
  <si>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</si>
  <si>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</si>
  <si>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</si>
  <si>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</si>
  <si>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</si>
  <si>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</si>
  <si>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</si>
  <si>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</si>
  <si>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</si>
  <si>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</si>
  <si>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</si>
  <si>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</si>
  <si>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</si>
  <si>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</si>
  <si>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</si>
  <si>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</si>
  <si>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</si>
  <si>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</si>
  <si>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</si>
  <si>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</si>
  <si>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</si>
  <si>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</si>
  <si>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</si>
  <si>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</si>
  <si>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</si>
  <si>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</si>
  <si>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</si>
  <si>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</si>
  <si>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</si>
  <si>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</si>
  <si>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</si>
  <si>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</si>
  <si>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</si>
  <si>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</si>
  <si>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</si>
  <si>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</si>
  <si>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</si>
  <si>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</si>
  <si>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</si>
  <si>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</si>
  <si>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</si>
  <si>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</si>
  <si>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</si>
  <si>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</si>
  <si>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</si>
  <si>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</si>
  <si>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</si>
  <si>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</si>
  <si>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</si>
  <si>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</si>
  <si>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</si>
  <si>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</si>
  <si>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</si>
  <si>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</si>
  <si>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</si>
  <si>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</si>
  <si>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</si>
  <si>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</si>
  <si>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</si>
  <si>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</si>
  <si>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</si>
  <si>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</si>
  <si>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</si>
  <si>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</si>
  <si>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</si>
  <si>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</si>
  <si>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</si>
  <si>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</si>
  <si>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</si>
  <si>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</si>
  <si>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</si>
  <si>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</si>
  <si>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</si>
  <si>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</si>
  <si>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</si>
  <si>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</si>
  <si>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</si>
  <si>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</si>
  <si>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</si>
  <si>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</si>
  <si>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</si>
  <si>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</si>
  <si>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</si>
  <si>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</si>
  <si>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</si>
  <si>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</si>
  <si>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</si>
  <si>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</si>
  <si>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</si>
  <si>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</si>
  <si>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</si>
  <si>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</si>
  <si>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</si>
  <si>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</si>
  <si>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</si>
  <si>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</si>
  <si>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</si>
  <si>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</si>
  <si>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</si>
  <si>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</si>
  <si>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</si>
  <si>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</si>
  <si>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</si>
  <si>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</si>
  <si>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</si>
  <si>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</si>
  <si>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</si>
  <si>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</si>
  <si>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</si>
  <si>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</si>
  <si>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</si>
  <si>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</si>
  <si>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</si>
  <si>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</si>
  <si>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</si>
  <si>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</si>
  <si>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</si>
  <si>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</si>
  <si>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</si>
  <si>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</si>
  <si>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</si>
  <si>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</si>
  <si>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</si>
  <si>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</si>
  <si>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</si>
  <si>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</si>
  <si>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</si>
  <si>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</si>
  <si>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</si>
  <si>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</si>
  <si>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</si>
  <si>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</si>
  <si>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</si>
  <si>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</si>
  <si>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</si>
  <si>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</si>
  <si>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</si>
  <si>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</si>
  <si>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</si>
  <si>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</si>
  <si>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</si>
  <si>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</si>
  <si>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</si>
  <si>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</si>
  <si>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</si>
  <si>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</si>
  <si>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</si>
  <si>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</si>
  <si>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</si>
  <si>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</si>
  <si>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</si>
  <si>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</si>
  <si>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</si>
  <si>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</si>
  <si>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</si>
  <si>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</si>
  <si>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</si>
  <si>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</si>
  <si>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</si>
  <si>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</si>
  <si>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</si>
  <si>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</si>
  <si>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</si>
  <si>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</si>
  <si>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</si>
  <si>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</si>
  <si>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</si>
  <si>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</si>
  <si>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</si>
  <si>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</si>
  <si>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</si>
  <si>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</si>
  <si>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</si>
  <si>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</si>
  <si>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</si>
  <si>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</si>
  <si>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</si>
  <si>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</si>
  <si>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</si>
  <si>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</si>
  <si>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</si>
  <si>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</si>
  <si>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</si>
  <si>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</si>
  <si>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</si>
  <si>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</si>
  <si>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</si>
  <si>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</si>
  <si>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</si>
  <si>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</si>
  <si>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</si>
  <si>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</si>
  <si>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</si>
  <si>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</si>
  <si>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</si>
  <si>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</si>
  <si>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</si>
  <si>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</si>
  <si>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</si>
  <si>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</si>
  <si>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</si>
  <si>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</si>
  <si>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</si>
  <si>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</si>
  <si>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</si>
  <si>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</si>
  <si>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</si>
  <si>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</si>
  <si>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</si>
  <si>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</si>
  <si>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</si>
  <si>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</si>
  <si>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</si>
  <si>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</si>
  <si>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</si>
  <si>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</si>
  <si>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</si>
  <si>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</si>
  <si>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</si>
  <si>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</si>
  <si>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</si>
  <si>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</si>
  <si>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</si>
  <si>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</si>
  <si>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</si>
  <si>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</si>
  <si>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</si>
  <si>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</si>
  <si>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</si>
  <si>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</si>
  <si>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</si>
  <si>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</si>
  <si>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</si>
  <si>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</si>
  <si>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</si>
  <si>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</si>
  <si>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</si>
  <si>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</si>
  <si>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</si>
  <si>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</si>
  <si>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</si>
  <si>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</si>
  <si>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</si>
  <si>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</si>
  <si>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</si>
  <si>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</si>
  <si>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</si>
  <si>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</si>
  <si>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</si>
  <si>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</si>
  <si>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</si>
  <si>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</si>
  <si>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</si>
  <si>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</si>
  <si>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</si>
  <si>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</si>
  <si>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</si>
  <si>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</si>
  <si>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</si>
  <si>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</si>
  <si>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</si>
  <si>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</si>
  <si>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</si>
  <si>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</si>
  <si>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</si>
  <si>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</si>
  <si>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</si>
  <si>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</si>
  <si>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</si>
  <si>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</si>
  <si>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</si>
  <si>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</si>
  <si>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</si>
  <si>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</si>
  <si>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</si>
  <si>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</si>
  <si>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</si>
  <si>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</si>
  <si>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</si>
  <si>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</si>
  <si>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</si>
  <si>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</si>
  <si>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</si>
  <si>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</si>
  <si>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</si>
  <si>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</si>
  <si>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</si>
  <si>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</si>
  <si>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</si>
  <si>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</si>
  <si>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</si>
  <si>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</si>
  <si>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</si>
  <si>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</si>
  <si>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</si>
  <si>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</si>
  <si>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</si>
  <si>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</si>
  <si>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</si>
  <si>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</si>
  <si>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</si>
  <si>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</si>
  <si>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</si>
  <si>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</si>
  <si>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</si>
  <si>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</si>
  <si>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</si>
  <si>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</si>
  <si>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</si>
  <si>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</si>
  <si>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</si>
  <si>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</si>
  <si>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</si>
  <si>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</si>
  <si>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</si>
  <si>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</si>
  <si>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</si>
  <si>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</si>
  <si>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</si>
  <si>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</si>
  <si>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</si>
  <si>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</si>
  <si>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</si>
  <si>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</si>
  <si>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</si>
  <si>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</si>
  <si>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</si>
  <si>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</si>
  <si>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</si>
  <si>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</si>
  <si>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</si>
  <si>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</si>
  <si>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</si>
  <si>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</si>
  <si>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</si>
  <si>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</si>
  <si>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</si>
  <si>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</si>
  <si>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</si>
  <si>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</si>
  <si>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</si>
  <si>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</si>
  <si>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</si>
  <si>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</si>
  <si>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</si>
  <si>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</si>
  <si>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</si>
  <si>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</si>
  <si>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</si>
  <si>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</si>
  <si>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</si>
  <si>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</si>
  <si>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</si>
  <si>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</si>
  <si>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</si>
  <si>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</si>
  <si>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</si>
  <si>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</si>
  <si>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</si>
  <si>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</si>
  <si>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</si>
  <si>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</si>
  <si>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</si>
  <si>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</si>
  <si>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</si>
  <si>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</si>
  <si>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</si>
  <si>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</si>
  <si>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</si>
  <si>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</si>
  <si>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</si>
  <si>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</si>
  <si>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</si>
  <si>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</si>
  <si>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</si>
  <si>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</si>
  <si>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</si>
  <si>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</si>
  <si>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</si>
  <si>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</si>
  <si>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</si>
  <si>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</si>
  <si>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</si>
  <si>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</si>
  <si>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</si>
  <si>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</si>
  <si>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</si>
  <si>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</si>
  <si>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</si>
  <si>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</si>
  <si>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</si>
  <si>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</si>
  <si>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</si>
  <si>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</si>
  <si>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</si>
  <si>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</si>
  <si>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</si>
  <si>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</si>
  <si>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</si>
  <si>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</si>
  <si>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</si>
  <si>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</si>
  <si>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</si>
  <si>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</si>
  <si>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</si>
  <si>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</si>
  <si>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</si>
  <si>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</si>
  <si>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</si>
  <si>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</si>
  <si>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</si>
  <si>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</si>
  <si>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</si>
  <si>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</si>
  <si>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</si>
  <si>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</si>
  <si>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</si>
  <si>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</si>
  <si>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</si>
  <si>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</si>
  <si>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</si>
  <si>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</si>
  <si>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</si>
  <si>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</si>
  <si>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</si>
  <si>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</si>
  <si>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</si>
  <si>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</si>
  <si>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</si>
  <si>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</si>
  <si>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</si>
  <si>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</si>
  <si>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</si>
  <si>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</si>
  <si>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</si>
  <si>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</si>
  <si>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</si>
  <si>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</si>
  <si>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</si>
  <si>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</si>
  <si>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</si>
  <si>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</si>
  <si>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</si>
  <si>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</si>
  <si>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</si>
  <si>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</si>
  <si>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</si>
  <si>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</si>
  <si>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</si>
  <si>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</si>
  <si>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</si>
  <si>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</si>
  <si>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</si>
  <si>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</si>
  <si>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</si>
  <si>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</si>
  <si>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</si>
  <si>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</si>
  <si>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</si>
  <si>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</si>
  <si>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</si>
  <si>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</si>
  <si>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</si>
  <si>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</si>
  <si>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</si>
  <si>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</si>
  <si>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</si>
  <si>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</si>
  <si>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</si>
  <si>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</si>
  <si>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</si>
  <si>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</si>
  <si>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</si>
  <si>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</si>
  <si>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</si>
  <si>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</si>
  <si>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</si>
  <si>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</si>
  <si>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</si>
  <si>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</si>
  <si>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</si>
  <si>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</si>
  <si>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</si>
  <si>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</si>
  <si>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</si>
  <si>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</si>
  <si>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</si>
  <si>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</si>
  <si>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</si>
  <si>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</si>
  <si>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</si>
  <si>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</si>
  <si>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</si>
  <si>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</si>
  <si>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</si>
  <si>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</si>
  <si>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</si>
  <si>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</si>
  <si>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</si>
  <si>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</si>
  <si>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</si>
  <si>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</si>
  <si>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</si>
  <si>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</si>
  <si>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</si>
  <si>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</si>
  <si>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</si>
  <si>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</si>
  <si>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</si>
  <si>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</si>
  <si>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</si>
  <si>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</si>
  <si>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</si>
  <si>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</si>
  <si>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</si>
  <si>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</si>
  <si>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</si>
  <si>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</si>
  <si>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</si>
  <si>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</si>
  <si>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</si>
  <si>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</si>
  <si>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</si>
  <si>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</si>
  <si>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</si>
  <si>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</si>
  <si>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</si>
  <si>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</si>
  <si>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</si>
  <si>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</si>
  <si>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</si>
  <si>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</si>
  <si>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</si>
  <si>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</si>
  <si>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</si>
  <si>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</si>
  <si>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</si>
  <si>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</si>
  <si>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</si>
  <si>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</si>
  <si>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</si>
  <si>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</si>
  <si>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</si>
  <si>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</si>
  <si>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</si>
  <si>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</si>
  <si>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</si>
  <si>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</si>
  <si>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</si>
  <si>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</si>
  <si>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</si>
  <si>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</si>
  <si>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</si>
  <si>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</si>
  <si>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</si>
  <si>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</si>
  <si>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</si>
  <si>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</si>
  <si>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</si>
  <si>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</si>
  <si>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</si>
  <si>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</si>
  <si>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</si>
  <si>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</si>
  <si>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</si>
  <si>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</si>
  <si>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</si>
  <si>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</si>
  <si>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</si>
  <si>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</si>
  <si>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</si>
  <si>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</si>
  <si>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</si>
  <si>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</si>
  <si>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</si>
  <si>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</si>
  <si>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</si>
  <si>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</si>
  <si>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</si>
  <si>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</si>
  <si>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</si>
  <si>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</si>
  <si>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</si>
  <si>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</si>
  <si>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</si>
  <si>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</si>
  <si>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</si>
  <si>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</si>
  <si>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</si>
  <si>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</si>
  <si>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</si>
  <si>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</si>
  <si>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</si>
  <si>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</si>
  <si>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</si>
  <si>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</si>
  <si>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</si>
  <si>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</si>
  <si>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</si>
  <si>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</si>
  <si>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</si>
  <si>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</si>
  <si>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</si>
  <si>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</si>
  <si>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</si>
  <si>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</si>
  <si>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</si>
  <si>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</si>
  <si>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</si>
  <si>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</si>
  <si>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</si>
  <si>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</si>
  <si>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</si>
  <si>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</si>
  <si>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</si>
  <si>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</si>
  <si>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</si>
  <si>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</si>
  <si>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</si>
  <si>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</si>
  <si>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</si>
  <si>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</si>
  <si>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</si>
  <si>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</si>
  <si>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</si>
  <si>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</si>
  <si>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</si>
  <si>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</si>
  <si>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</si>
  <si>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</si>
  <si>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</si>
  <si>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</si>
  <si>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</si>
  <si>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</si>
  <si>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</si>
  <si>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</si>
  <si>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</si>
  <si>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</si>
  <si>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</si>
  <si>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</si>
  <si>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</si>
  <si>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</si>
  <si>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</si>
  <si>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</si>
  <si>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</si>
  <si>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</si>
  <si>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</si>
  <si>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</si>
  <si>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</si>
  <si>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</si>
  <si>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</si>
  <si>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</si>
  <si>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</si>
  <si>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</si>
  <si>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</si>
  <si>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</si>
  <si>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</si>
  <si>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</si>
  <si>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</si>
  <si>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</si>
  <si>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</si>
  <si>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</si>
  <si>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</si>
  <si>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</si>
  <si>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</si>
  <si>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</si>
  <si>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</si>
  <si>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</si>
  <si>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</si>
  <si>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</si>
  <si>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</si>
  <si>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</si>
  <si>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</si>
  <si>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</si>
  <si>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</si>
  <si>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</si>
  <si>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</si>
  <si>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</si>
  <si>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</si>
  <si>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</si>
  <si>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</si>
  <si>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</si>
  <si>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</si>
  <si>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</si>
  <si>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</si>
  <si>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</si>
  <si>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</si>
  <si>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</si>
  <si>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</si>
  <si>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</si>
  <si>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</si>
  <si>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</si>
  <si>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</si>
  <si>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</si>
  <si>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</si>
  <si>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</si>
  <si>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</si>
  <si>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</si>
  <si>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</si>
  <si>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</si>
  <si>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</si>
  <si>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</si>
  <si>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</si>
  <si>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</si>
  <si>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</si>
  <si>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</si>
  <si>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</si>
  <si>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</si>
  <si>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</si>
  <si>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</si>
  <si>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</si>
  <si>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</si>
  <si>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</si>
  <si>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</si>
  <si>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</si>
  <si>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</si>
  <si>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</si>
  <si>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</si>
  <si>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</si>
  <si>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</si>
  <si>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</si>
  <si>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</si>
  <si>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</si>
  <si>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</si>
  <si>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</si>
  <si>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</si>
  <si>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</si>
  <si>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</si>
  <si>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</si>
  <si>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</si>
  <si>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</si>
  <si>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</si>
  <si>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</si>
  <si>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</si>
  <si>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</si>
  <si>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</si>
  <si>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</si>
  <si>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</si>
  <si>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</si>
  <si>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</si>
  <si>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</si>
  <si>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</si>
  <si>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</si>
  <si>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</si>
  <si>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</si>
  <si>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</si>
  <si>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</si>
  <si>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</si>
  <si>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</si>
  <si>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</si>
  <si>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</si>
  <si>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</si>
  <si>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</si>
  <si>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</si>
  <si>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</si>
  <si>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</si>
  <si>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</si>
  <si>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</si>
  <si>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</si>
  <si>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</si>
  <si>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</si>
  <si>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</si>
  <si>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</si>
  <si>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</si>
  <si>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</si>
  <si>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</si>
  <si>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</si>
  <si>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</si>
  <si>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</si>
  <si>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</si>
  <si>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</si>
  <si>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</si>
  <si>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</si>
  <si>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</si>
  <si>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</si>
  <si>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</si>
  <si>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</si>
  <si>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</si>
  <si>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</si>
  <si>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</si>
  <si>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</si>
  <si>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</si>
  <si>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</si>
  <si>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</si>
  <si>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</si>
  <si>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</si>
  <si>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</si>
  <si>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</si>
  <si>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</si>
  <si>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</si>
  <si>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</si>
  <si>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</si>
  <si>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</si>
  <si>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</si>
  <si>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</si>
  <si>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</si>
  <si>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</si>
  <si>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</si>
  <si>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</si>
  <si>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</si>
  <si>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</si>
  <si>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</si>
  <si>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</si>
  <si>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</si>
  <si>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</si>
  <si>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</si>
  <si>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</si>
  <si>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</si>
  <si>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</si>
  <si>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</si>
  <si>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</si>
  <si>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</si>
  <si>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</si>
  <si>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</si>
  <si>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</si>
  <si>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</si>
  <si>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</si>
  <si>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</si>
  <si>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</si>
  <si>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</si>
  <si>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</si>
  <si>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</si>
  <si>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</si>
  <si>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</si>
  <si>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</si>
  <si>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</si>
  <si>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</si>
  <si>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</si>
  <si>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</si>
  <si>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</si>
  <si>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</si>
  <si>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</si>
  <si>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</si>
  <si>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</si>
  <si>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</si>
  <si>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</si>
  <si>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</si>
  <si>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</si>
  <si>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</si>
  <si>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</si>
  <si>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</si>
  <si>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</si>
  <si>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</si>
  <si>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</si>
  <si>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</si>
  <si>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</si>
  <si>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</si>
  <si>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</si>
  <si>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</si>
  <si>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</si>
  <si>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</si>
  <si>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</si>
  <si>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</si>
  <si>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</si>
  <si>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</si>
  <si>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</si>
  <si>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</si>
  <si>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</si>
  <si>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</si>
  <si>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</si>
  <si>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</si>
  <si>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</si>
  <si>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</si>
  <si>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</si>
  <si>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</si>
  <si>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</si>
  <si>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</si>
  <si>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</si>
  <si>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</si>
  <si>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</si>
  <si>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</si>
  <si>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</si>
  <si>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</si>
  <si>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</si>
  <si>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</si>
  <si>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</si>
  <si>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</si>
  <si>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</si>
  <si>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</si>
  <si>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</si>
  <si>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</si>
  <si>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</si>
  <si>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</si>
  <si>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</si>
  <si>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</si>
  <si>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</si>
  <si>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</si>
  <si>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</si>
  <si>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</si>
  <si>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</si>
  <si>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</si>
  <si>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</si>
  <si>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</si>
  <si>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</si>
  <si>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</si>
  <si>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</si>
  <si>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</si>
  <si>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</si>
  <si>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</si>
  <si>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</si>
  <si>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</si>
  <si>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</si>
  <si>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</si>
  <si>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</si>
  <si>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</si>
  <si>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</si>
  <si>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</si>
  <si>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</si>
  <si>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</si>
  <si>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</si>
  <si>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</si>
  <si>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</si>
  <si>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</si>
  <si>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</si>
  <si>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</si>
  <si>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</si>
  <si>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</si>
  <si>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</si>
  <si>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</si>
  <si>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</si>
  <si>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</si>
  <si>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</si>
  <si>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</si>
  <si>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</si>
  <si>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</si>
  <si>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</si>
  <si>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</si>
  <si>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</si>
  <si>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</si>
  <si>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</si>
  <si>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</si>
  <si>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</si>
  <si>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</si>
  <si>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</si>
  <si>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</si>
  <si>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</si>
  <si>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</si>
  <si>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</si>
  <si>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</si>
  <si>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</si>
  <si>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</si>
  <si>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</si>
  <si>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</si>
  <si>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</si>
  <si>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</si>
  <si>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</si>
  <si>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</si>
  <si>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</si>
  <si>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</si>
  <si>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</si>
  <si>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</si>
  <si>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</si>
  <si>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</si>
  <si>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</si>
  <si>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</si>
  <si>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</si>
  <si>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</si>
  <si>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</si>
  <si>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</si>
  <si>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</si>
  <si>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</si>
  <si>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</si>
  <si>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</si>
  <si>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</si>
  <si>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</si>
  <si>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</si>
  <si>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</si>
  <si>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</si>
  <si>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</si>
  <si>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</si>
  <si>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</si>
  <si>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</si>
  <si>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</si>
  <si>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</si>
  <si>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</si>
  <si>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</si>
  <si>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</si>
  <si>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</si>
  <si>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</si>
  <si>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</si>
  <si>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</si>
  <si>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</si>
  <si>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</si>
  <si>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</si>
  <si>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</si>
  <si>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</si>
  <si>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</si>
  <si>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</si>
  <si>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</si>
  <si>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</si>
  <si>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</si>
  <si>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</si>
  <si>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</si>
  <si>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</si>
  <si>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</si>
  <si>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</si>
  <si>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</si>
  <si>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</si>
  <si>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</si>
  <si>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</si>
  <si>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</si>
  <si>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</si>
  <si>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</si>
  <si>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</si>
  <si>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</si>
  <si>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</si>
  <si>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</si>
  <si>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</si>
  <si>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</si>
  <si>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</si>
  <si>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</si>
  <si>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</si>
  <si>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</si>
  <si>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</si>
  <si>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</si>
  <si>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</si>
  <si>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</si>
  <si>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</si>
  <si>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</si>
  <si>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</si>
  <si>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</si>
  <si>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</si>
  <si>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</si>
  <si>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</si>
  <si>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</si>
  <si>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</si>
  <si>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</si>
  <si>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</si>
  <si>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</si>
  <si>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</si>
  <si>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</si>
  <si>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</si>
  <si>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</si>
  <si>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</si>
  <si>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</si>
  <si>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</si>
  <si>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</si>
  <si>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</si>
  <si>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</si>
  <si>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</si>
  <si>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</si>
  <si>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</si>
  <si>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</si>
  <si>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</si>
  <si>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</si>
  <si>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</si>
  <si>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</si>
  <si>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</si>
  <si>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</si>
  <si>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</si>
  <si>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</si>
  <si>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</si>
  <si>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</si>
  <si>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</si>
  <si>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</si>
  <si>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</si>
  <si>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</si>
  <si>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</si>
  <si>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</si>
  <si>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</si>
  <si>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</si>
  <si>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</si>
  <si>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</si>
  <si>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</si>
  <si>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</si>
  <si>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</si>
  <si>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</si>
  <si>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</si>
  <si>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</si>
  <si>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</si>
  <si>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</si>
  <si>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</si>
  <si>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</si>
  <si>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</si>
  <si>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</si>
  <si>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</si>
  <si>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</si>
  <si>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</si>
  <si>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</si>
  <si>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</si>
  <si>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</si>
  <si>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</si>
  <si>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</si>
  <si>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</si>
  <si>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</si>
  <si>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</si>
  <si>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</si>
  <si>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</si>
  <si>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</si>
  <si>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</si>
  <si>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</si>
  <si>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</si>
  <si>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</si>
  <si>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</si>
  <si>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</si>
  <si>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</si>
  <si>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</si>
  <si>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</si>
  <si>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</si>
  <si>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</si>
  <si>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</si>
  <si>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</si>
  <si>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</si>
  <si>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</si>
  <si>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</si>
  <si>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</si>
  <si>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</si>
  <si>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</si>
  <si>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</si>
  <si>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</si>
  <si>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</si>
  <si>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</si>
  <si>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</si>
  <si>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</si>
  <si>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</si>
  <si>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</si>
  <si>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</si>
  <si>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</si>
  <si>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</si>
  <si>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</si>
  <si>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</si>
  <si>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</si>
  <si>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</si>
  <si>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</si>
  <si>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</si>
  <si>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</si>
  <si>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</si>
  <si>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</si>
  <si>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</si>
  <si>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</si>
  <si>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</si>
  <si>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</si>
  <si>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</si>
  <si>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</si>
  <si>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</si>
  <si>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</si>
  <si>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</si>
  <si>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</si>
  <si>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</si>
  <si>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</si>
  <si>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</si>
  <si>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</si>
  <si>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</si>
  <si>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</si>
  <si>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</si>
  <si>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</si>
  <si>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</si>
  <si>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</si>
  <si>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</si>
  <si>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</si>
  <si>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</si>
  <si>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</si>
  <si>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</si>
  <si>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</si>
  <si>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</si>
  <si>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</si>
  <si>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</si>
  <si>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</si>
  <si>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</si>
  <si>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</si>
  <si>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</si>
  <si>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</si>
  <si>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</si>
  <si>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</si>
  <si>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</si>
  <si>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</si>
  <si>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</si>
  <si>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</si>
  <si>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</si>
  <si>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</si>
  <si>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</si>
  <si>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</si>
  <si>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</si>
  <si>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</si>
  <si>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</si>
  <si>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</si>
  <si>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</si>
  <si>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</si>
  <si>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</si>
  <si>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</si>
  <si>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</si>
  <si>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</si>
  <si>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</si>
  <si>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</si>
  <si>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</si>
  <si>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</si>
  <si>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</si>
  <si>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</si>
  <si>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</si>
  <si>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</si>
  <si>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</si>
  <si>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</si>
  <si>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</si>
  <si>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</si>
  <si>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</si>
  <si>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</si>
  <si>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</si>
  <si>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</si>
  <si>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</si>
  <si>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</si>
  <si>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</si>
  <si>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</si>
  <si>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</si>
  <si>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</si>
  <si>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</si>
  <si>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</si>
  <si>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</si>
  <si>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</si>
  <si>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</si>
  <si>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</si>
  <si>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</si>
  <si>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</si>
  <si>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</si>
  <si>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</si>
  <si>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</si>
  <si>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</si>
  <si>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</si>
  <si>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</si>
  <si>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</si>
  <si>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</si>
  <si>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</si>
  <si>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</si>
  <si>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</si>
  <si>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</si>
  <si>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</si>
  <si>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</si>
  <si>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</si>
  <si>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</si>
  <si>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</si>
  <si>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</si>
  <si>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</si>
  <si>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</si>
  <si>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</si>
  <si>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</si>
  <si>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</si>
  <si>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</si>
  <si>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</si>
  <si>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</si>
  <si>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</si>
  <si>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</si>
  <si>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</si>
  <si>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</si>
  <si>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</si>
  <si>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</si>
  <si>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</si>
  <si>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</si>
  <si>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</si>
  <si>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</si>
  <si>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</si>
  <si>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</si>
  <si>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</si>
  <si>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</si>
  <si>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</si>
  <si>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</si>
  <si>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</si>
  <si>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</si>
  <si>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</si>
  <si>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</si>
  <si>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</si>
  <si>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</si>
  <si>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</si>
  <si>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</si>
  <si>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</si>
  <si>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</si>
  <si>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</si>
  <si>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</si>
  <si>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</si>
  <si>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</si>
  <si>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</si>
  <si>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</si>
  <si>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</si>
  <si>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</si>
  <si>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</si>
  <si>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</si>
  <si>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</si>
  <si>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</si>
  <si>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</si>
  <si>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</si>
  <si>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</si>
  <si>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</si>
  <si>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</si>
  <si>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</si>
  <si>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</si>
  <si>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</si>
  <si>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</si>
  <si>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</si>
  <si>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</si>
  <si>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</si>
  <si>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</si>
  <si>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</si>
  <si>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</si>
  <si>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</si>
  <si>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</si>
  <si>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</si>
  <si>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</si>
  <si>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</si>
  <si>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</si>
  <si>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</si>
  <si>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</si>
  <si>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</si>
  <si>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</si>
  <si>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</si>
  <si>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</si>
  <si>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</si>
  <si>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</si>
  <si>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</si>
  <si>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</si>
  <si>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</si>
  <si>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</si>
  <si>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</si>
  <si>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</si>
  <si>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</si>
  <si>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</si>
  <si>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</si>
  <si>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</si>
  <si>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</si>
  <si>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</si>
  <si>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</si>
  <si>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</si>
  <si>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</si>
  <si>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</si>
  <si>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</si>
  <si>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</si>
  <si>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</si>
  <si>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</si>
  <si>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</si>
  <si>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</si>
  <si>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</si>
  <si>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</si>
  <si>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</si>
  <si>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</si>
  <si>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</si>
  <si>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</si>
  <si>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</si>
  <si>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</si>
  <si>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</si>
  <si>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</si>
  <si>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</si>
  <si>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</si>
  <si>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</si>
  <si>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</si>
  <si>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</si>
  <si>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</si>
  <si>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</si>
  <si>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</si>
  <si>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</si>
  <si>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</si>
  <si>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</si>
  <si>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</si>
  <si>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</si>
  <si>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</si>
  <si>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</si>
  <si>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</si>
  <si>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</si>
  <si>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</si>
  <si>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</si>
  <si>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</si>
  <si>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</si>
  <si>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</si>
  <si>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</si>
  <si>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</si>
  <si>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</si>
  <si>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</si>
  <si>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</si>
  <si>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</si>
  <si>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</si>
  <si>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</si>
  <si>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</si>
  <si>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</si>
  <si>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</si>
  <si>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</si>
  <si>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</si>
  <si>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</si>
  <si>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</si>
  <si>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</si>
  <si>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</si>
  <si>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</si>
  <si>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</si>
  <si>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</si>
  <si>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</si>
  <si>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</si>
  <si>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</si>
  <si>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</si>
  <si>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</si>
  <si>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</si>
  <si>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</si>
  <si>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</si>
  <si>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</si>
  <si>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</si>
  <si>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</si>
  <si>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</si>
  <si>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</si>
  <si>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</si>
  <si>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</si>
  <si>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</si>
  <si>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</si>
  <si>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</si>
  <si>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</si>
  <si>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</si>
  <si>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</si>
  <si>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</si>
  <si>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</si>
  <si>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</si>
  <si>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</si>
  <si>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</si>
  <si>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</si>
  <si>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</si>
  <si>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</si>
  <si>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</si>
  <si>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</si>
  <si>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</si>
  <si>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</si>
  <si>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</si>
  <si>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</si>
  <si>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</si>
  <si>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</si>
  <si>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</si>
  <si>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</si>
  <si>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</si>
  <si>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</si>
  <si>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</si>
  <si>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</si>
  <si>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</si>
  <si>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</si>
  <si>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</si>
  <si>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</si>
  <si>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</si>
  <si>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</si>
  <si>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</si>
  <si>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</si>
  <si>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</si>
  <si>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</si>
  <si>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</si>
  <si>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</si>
  <si>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</si>
  <si>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</si>
  <si>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</si>
  <si>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</si>
  <si>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</si>
  <si>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</si>
  <si>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</si>
  <si>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</si>
  <si>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</si>
  <si>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</si>
  <si>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</si>
  <si>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</si>
  <si>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</si>
  <si>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</si>
  <si>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</si>
  <si>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</si>
  <si>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</si>
  <si>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</si>
  <si>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</si>
  <si>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</si>
  <si>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</si>
  <si>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</si>
  <si>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</si>
  <si>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</si>
  <si>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</si>
  <si>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</si>
  <si>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</si>
  <si>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</si>
  <si>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</si>
  <si>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</si>
  <si>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</si>
  <si>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</si>
  <si>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</si>
  <si>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</si>
  <si>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</si>
  <si>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</si>
  <si>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</si>
  <si>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</si>
  <si>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</si>
  <si>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</si>
  <si>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</si>
  <si>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</si>
  <si>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</si>
  <si>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</si>
  <si>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</si>
  <si>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</si>
  <si>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</si>
  <si>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</si>
  <si>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</si>
  <si>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</si>
  <si>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</si>
  <si>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</si>
  <si>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</si>
  <si>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</si>
  <si>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</si>
  <si>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</si>
  <si>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</si>
  <si>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</si>
  <si>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</si>
  <si>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</si>
  <si>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</si>
  <si>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</si>
  <si>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</si>
  <si>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</si>
  <si>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</si>
  <si>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</si>
  <si>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</si>
  <si>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</si>
  <si>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</si>
  <si>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</si>
  <si>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</si>
  <si>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</si>
  <si>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</si>
  <si>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</si>
  <si>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</si>
  <si>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</si>
  <si>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</si>
  <si>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</si>
  <si>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</si>
  <si>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</si>
  <si>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</si>
  <si>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</si>
  <si>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</si>
  <si>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</si>
  <si>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</si>
  <si>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</si>
  <si>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</si>
  <si>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</si>
  <si>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</si>
  <si>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</si>
  <si>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</si>
  <si>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</si>
  <si>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</si>
  <si>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</si>
  <si>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</si>
  <si>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</si>
  <si>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</si>
  <si>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</si>
  <si>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</si>
  <si>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</si>
  <si>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</si>
  <si>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</si>
  <si>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</si>
  <si>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</si>
  <si>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</si>
  <si>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</si>
  <si>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</si>
  <si>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</si>
  <si>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</si>
  <si>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</si>
  <si>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</si>
  <si>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</si>
  <si>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</si>
  <si>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</si>
  <si>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</si>
  <si>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</si>
  <si>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</si>
  <si>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</si>
  <si>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</si>
  <si>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</si>
  <si>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</si>
  <si>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</si>
  <si>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</si>
  <si>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</si>
  <si>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</si>
  <si>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</si>
  <si>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</si>
  <si>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</si>
  <si>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</si>
  <si>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</si>
  <si>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</si>
  <si>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</si>
  <si>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</si>
  <si>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</si>
  <si>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</si>
  <si>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</si>
  <si>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</si>
  <si>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</si>
  <si>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</si>
  <si>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</si>
  <si>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</si>
  <si>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</si>
  <si>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</si>
  <si>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</si>
  <si>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</si>
  <si>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</si>
  <si>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</si>
  <si>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</si>
  <si>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</si>
  <si>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</si>
  <si>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</si>
  <si>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</si>
  <si>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</si>
  <si>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</si>
  <si>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</si>
  <si>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</si>
  <si>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</si>
  <si>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</si>
  <si>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</si>
  <si>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</si>
  <si>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</si>
  <si>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</si>
  <si>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</si>
  <si>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</si>
  <si>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</si>
  <si>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</si>
  <si>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</si>
  <si>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</si>
  <si>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</si>
  <si>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</si>
  <si>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</si>
  <si>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</si>
  <si>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</si>
  <si>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</si>
  <si>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</si>
  <si>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</si>
  <si>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</si>
  <si>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</si>
  <si>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</si>
  <si>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</si>
  <si>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</si>
  <si>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</si>
  <si>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</si>
  <si>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</si>
  <si>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</si>
  <si>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</si>
  <si>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</si>
  <si>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</si>
  <si>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</si>
  <si>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</si>
  <si>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</si>
  <si>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</si>
  <si>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</si>
  <si>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</si>
  <si>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</si>
  <si>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</si>
  <si>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</si>
  <si>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</si>
  <si>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</si>
  <si>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</si>
  <si>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</si>
  <si>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</si>
  <si>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</si>
  <si>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</si>
  <si>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</si>
  <si>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</si>
  <si>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</si>
  <si>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</si>
  <si>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</si>
  <si>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</si>
  <si>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</si>
  <si>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</si>
  <si>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</si>
  <si>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</si>
  <si>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</si>
  <si>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</si>
  <si>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</si>
  <si>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</si>
  <si>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</si>
  <si>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</si>
  <si>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</si>
  <si>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</si>
  <si>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</si>
  <si>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</si>
  <si>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</si>
  <si>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</si>
  <si>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</si>
  <si>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</si>
  <si>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</si>
  <si>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</si>
  <si>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</si>
  <si>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</si>
  <si>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</si>
  <si>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</si>
  <si>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</si>
  <si>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</si>
  <si>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</si>
  <si>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</si>
  <si>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</si>
  <si>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</si>
  <si>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</si>
  <si>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</si>
  <si>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</si>
  <si>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</si>
  <si>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</si>
  <si>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</si>
  <si>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</si>
  <si>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</si>
  <si>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</si>
  <si>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</si>
  <si>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</si>
  <si>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</si>
  <si>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</si>
  <si>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</si>
  <si>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</si>
  <si>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</si>
  <si>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</si>
  <si>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</si>
  <si>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</si>
  <si>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</si>
  <si>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</si>
  <si>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</si>
  <si>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</si>
  <si>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</si>
  <si>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</si>
  <si>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</si>
  <si>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</si>
  <si>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</si>
  <si>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</si>
  <si>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</si>
  <si>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</si>
  <si>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</si>
  <si>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</si>
  <si>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</si>
  <si>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</si>
  <si>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</si>
  <si>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</si>
  <si>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</si>
  <si>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</si>
  <si>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</si>
  <si>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</si>
  <si>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</si>
  <si>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</si>
  <si>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</si>
  <si>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</si>
  <si>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</si>
  <si>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</si>
  <si>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</si>
  <si>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</si>
  <si>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</si>
  <si>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</si>
  <si>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</si>
  <si>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</si>
  <si>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</si>
  <si>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</si>
  <si>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</si>
  <si>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</si>
  <si>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</si>
  <si>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</si>
  <si>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</si>
  <si>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</si>
  <si>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</si>
  <si>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</si>
  <si>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</si>
  <si>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</si>
  <si>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</si>
  <si>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</si>
  <si>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</si>
  <si>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</si>
  <si>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</si>
  <si>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</si>
  <si>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</si>
  <si>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</si>
  <si>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</si>
  <si>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</si>
  <si>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</si>
  <si>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</si>
  <si>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</si>
  <si>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</si>
  <si>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</si>
  <si>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</si>
  <si>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</si>
  <si>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</si>
  <si>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</si>
  <si>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</si>
  <si>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</si>
  <si>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</si>
  <si>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</si>
  <si>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</si>
  <si>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</si>
  <si>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</si>
  <si>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</si>
  <si>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</si>
  <si>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</si>
  <si>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</si>
  <si>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</si>
  <si>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</si>
  <si>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</si>
  <si>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</si>
  <si>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</si>
  <si>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</si>
  <si>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</si>
  <si>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</si>
  <si>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</si>
  <si>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</si>
  <si>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</si>
  <si>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</si>
  <si>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</si>
  <si>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</si>
  <si>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</si>
  <si>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</si>
  <si>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</si>
  <si>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</si>
  <si>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</si>
  <si>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</si>
  <si>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</si>
  <si>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</si>
  <si>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</si>
  <si>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</si>
  <si>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</si>
  <si>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</si>
  <si>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</si>
  <si>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</si>
  <si>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</si>
  <si>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</si>
  <si>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</si>
  <si>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</si>
  <si>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</si>
  <si>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</si>
  <si>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</si>
  <si>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</si>
  <si>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</si>
  <si>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</si>
  <si>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</si>
  <si>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</si>
  <si>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</si>
  <si>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</si>
  <si>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</si>
  <si>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</si>
  <si>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</si>
  <si>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</si>
  <si>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</si>
  <si>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</si>
  <si>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</si>
  <si>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</si>
  <si>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</si>
  <si>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</si>
  <si>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</si>
  <si>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</si>
  <si>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</si>
  <si>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</si>
  <si>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</si>
  <si>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</si>
  <si>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</si>
  <si>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</si>
  <si>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</si>
  <si>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</si>
  <si>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</si>
  <si>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</si>
  <si>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</si>
  <si>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</si>
  <si>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</si>
  <si>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</si>
  <si>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</si>
  <si>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</si>
  <si>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</si>
  <si>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</si>
  <si>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</si>
  <si>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</si>
  <si>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</si>
  <si>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</si>
  <si>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</si>
  <si>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</si>
  <si>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</si>
  <si>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</si>
  <si>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</si>
  <si>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</si>
  <si>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</si>
  <si>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</si>
  <si>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</si>
  <si>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</si>
  <si>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</si>
  <si>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</si>
  <si>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</si>
  <si>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</si>
  <si>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</si>
  <si>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</si>
  <si>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</si>
  <si>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</si>
  <si>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</si>
  <si>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</si>
  <si>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</si>
  <si>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</si>
  <si>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</si>
  <si>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</si>
  <si>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</si>
  <si>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</si>
  <si>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</si>
  <si>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</si>
  <si>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</si>
  <si>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</si>
  <si>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</si>
  <si>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</si>
  <si>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</si>
  <si>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</si>
  <si>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</si>
  <si>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</si>
  <si>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</si>
  <si>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</si>
  <si>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</si>
  <si>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</si>
  <si>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</si>
  <si>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</si>
  <si>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</si>
  <si>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</si>
  <si>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</si>
  <si>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</si>
  <si>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</si>
  <si>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</si>
  <si>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</si>
  <si>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</si>
  <si>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</si>
  <si>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</si>
  <si>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</si>
  <si>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</si>
  <si>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</si>
  <si>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</si>
  <si>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</si>
  <si>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</si>
  <si>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</si>
  <si>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</si>
  <si>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</si>
  <si>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</si>
  <si>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</si>
  <si>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</si>
  <si>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</si>
  <si>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</si>
  <si>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</si>
  <si>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</si>
  <si>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</si>
  <si>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</si>
  <si>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</si>
  <si>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</si>
  <si>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</si>
  <si>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</si>
  <si>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</si>
  <si>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</si>
  <si>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</si>
  <si>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</si>
  <si>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</si>
  <si>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</si>
  <si>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</si>
  <si>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</si>
  <si>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</si>
  <si>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</si>
  <si>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</si>
  <si>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</si>
  <si>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</si>
  <si>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</si>
  <si>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</si>
  <si>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</si>
  <si>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</si>
  <si>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</si>
  <si>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</si>
  <si>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</si>
  <si>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</si>
  <si>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</si>
  <si>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</si>
  <si>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</si>
  <si>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</si>
  <si>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</si>
  <si>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</si>
  <si>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</si>
  <si>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</si>
  <si>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</si>
  <si>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</si>
  <si>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</si>
  <si>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</si>
  <si>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</si>
  <si>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</si>
  <si>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</si>
  <si>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</si>
  <si>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</si>
  <si>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</si>
  <si>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</si>
  <si>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</si>
  <si>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</si>
  <si>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</si>
  <si>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</si>
  <si>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</si>
  <si>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</si>
  <si>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</si>
  <si>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</si>
  <si>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</si>
  <si>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</si>
  <si>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</si>
  <si>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</si>
  <si>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</si>
  <si>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</si>
  <si>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</si>
  <si>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</si>
  <si>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</si>
  <si>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</si>
  <si>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</si>
  <si>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</si>
  <si>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</si>
  <si>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</si>
  <si>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</si>
  <si>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</si>
  <si>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</si>
  <si>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</si>
  <si>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</si>
  <si>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</si>
  <si>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</si>
  <si>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</si>
  <si>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</si>
  <si>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</si>
  <si>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</si>
  <si>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</si>
  <si>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</si>
  <si>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</si>
  <si>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</si>
  <si>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</si>
  <si>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</si>
  <si>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</si>
  <si>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</si>
  <si>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</si>
  <si>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</si>
  <si>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</si>
  <si>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</si>
  <si>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</si>
  <si>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</si>
  <si>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</si>
  <si>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</si>
  <si>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</si>
  <si>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</si>
  <si>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</si>
  <si>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</si>
  <si>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</si>
  <si>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</si>
  <si>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</si>
  <si>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</si>
  <si>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</si>
  <si>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</si>
  <si>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</si>
  <si>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</si>
  <si>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</si>
  <si>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</si>
  <si>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</si>
  <si>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</si>
  <si>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</si>
  <si>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</si>
  <si>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</si>
  <si>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</si>
  <si>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</si>
  <si>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</si>
  <si>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</si>
  <si>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</si>
  <si>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</si>
  <si>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</si>
  <si>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</si>
  <si>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</si>
  <si>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</si>
  <si>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</si>
  <si>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</si>
  <si>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</si>
  <si>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</si>
  <si>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</si>
  <si>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</si>
  <si>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</si>
  <si>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</si>
  <si>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</si>
  <si>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</si>
  <si>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</si>
  <si>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</si>
  <si>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</si>
  <si>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</si>
  <si>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</si>
  <si>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</si>
  <si>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</si>
  <si>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</si>
  <si>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</si>
  <si>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</si>
  <si>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</si>
  <si>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</si>
  <si>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</si>
  <si>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</si>
  <si>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</si>
  <si>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</si>
  <si>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</si>
  <si>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</si>
  <si>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</si>
  <si>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</si>
  <si>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</si>
  <si>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</si>
  <si>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</si>
  <si>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</si>
  <si>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</si>
  <si>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</si>
  <si>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</si>
  <si>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</si>
  <si>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</si>
  <si>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</si>
  <si>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</si>
  <si>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</si>
  <si>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</si>
  <si>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</si>
  <si>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</si>
  <si>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</si>
  <si>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</si>
  <si>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</si>
  <si>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</si>
  <si>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</si>
  <si>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</si>
  <si>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</si>
  <si>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</si>
  <si>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</si>
  <si>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</si>
  <si>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</si>
  <si>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</si>
  <si>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</si>
  <si>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</si>
  <si>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</si>
  <si>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</si>
  <si>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</si>
  <si>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</si>
  <si>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</si>
  <si>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</si>
  <si>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</si>
  <si>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</si>
  <si>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</si>
  <si>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</si>
  <si>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</si>
  <si>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</si>
  <si>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</si>
  <si>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</si>
  <si>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</si>
  <si>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</si>
  <si>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</si>
  <si>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</si>
  <si>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</si>
  <si>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</si>
  <si>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</si>
  <si>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</si>
  <si>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</si>
  <si>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</si>
  <si>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</si>
  <si>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</si>
  <si>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</si>
  <si>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</si>
  <si>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</si>
  <si>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</si>
  <si>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</si>
  <si>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</si>
  <si>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</si>
  <si>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</si>
  <si>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</si>
  <si>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</si>
  <si>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</si>
  <si>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</si>
  <si>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</si>
  <si>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</si>
  <si>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</si>
  <si>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</si>
  <si>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</si>
  <si>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</si>
  <si>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</si>
  <si>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</si>
  <si>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</si>
  <si>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</si>
  <si>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</si>
  <si>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</si>
  <si>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</si>
  <si>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</si>
  <si>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</si>
  <si>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</si>
  <si>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</si>
  <si>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</si>
  <si>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</si>
  <si>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</si>
  <si>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</si>
  <si>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</si>
  <si>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</si>
  <si>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</si>
  <si>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</si>
  <si>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</si>
  <si>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</si>
  <si>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</si>
  <si>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</si>
  <si>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</si>
  <si>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</si>
  <si>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</si>
  <si>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</si>
  <si>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</si>
  <si>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</si>
  <si>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</si>
  <si>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</si>
  <si>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</si>
  <si>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</si>
  <si>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</si>
  <si>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</si>
  <si>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</si>
  <si>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</si>
  <si>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</si>
  <si>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</si>
  <si>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</si>
  <si>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</si>
  <si>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</si>
  <si>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</si>
  <si>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</si>
  <si>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</si>
  <si>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</si>
  <si>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</si>
  <si>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</si>
  <si>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</si>
  <si>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</si>
  <si>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</si>
  <si>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</si>
  <si>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</si>
  <si>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</si>
  <si>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</si>
  <si>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</si>
  <si>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</si>
  <si>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</si>
  <si>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</si>
  <si>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</si>
  <si>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</si>
  <si>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</si>
  <si>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</si>
  <si>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</si>
  <si>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</si>
  <si>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</si>
  <si>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</si>
  <si>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</si>
  <si>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</si>
  <si>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</si>
  <si>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</si>
  <si>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</si>
  <si>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</si>
  <si>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</si>
  <si>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</si>
  <si>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</si>
  <si>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</si>
  <si>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</si>
  <si>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</si>
  <si>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</si>
  <si>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</si>
  <si>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</si>
  <si>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</si>
  <si>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</si>
  <si>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</si>
  <si>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</si>
  <si>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</si>
  <si>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</si>
  <si>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</si>
  <si>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</si>
  <si>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</si>
  <si>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</si>
  <si>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</si>
  <si>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</si>
  <si>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</si>
  <si>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</si>
  <si>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</si>
  <si>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</si>
  <si>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</si>
  <si>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</si>
  <si>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</si>
  <si>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</si>
  <si>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</si>
  <si>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</si>
  <si>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</si>
  <si>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</si>
  <si>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</si>
  <si>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</si>
  <si>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</si>
  <si>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</si>
  <si>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</si>
  <si>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</si>
  <si>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</si>
  <si>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</si>
  <si>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</si>
  <si>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</si>
  <si>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</si>
  <si>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</si>
  <si>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</si>
  <si>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</si>
  <si>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</si>
  <si>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</si>
  <si>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</si>
  <si>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</si>
  <si>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</si>
  <si>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</si>
  <si>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</si>
  <si>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</si>
  <si>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</si>
  <si>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</si>
  <si>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</si>
  <si>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</si>
  <si>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</si>
  <si>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</si>
  <si>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</si>
  <si>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</si>
  <si>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</si>
  <si>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</si>
  <si>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</si>
  <si>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</si>
  <si>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</si>
  <si>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</si>
  <si>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</si>
  <si>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</si>
  <si>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</si>
  <si>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</si>
  <si>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</si>
  <si>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</si>
  <si>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</si>
  <si>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</si>
  <si>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</si>
  <si>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</si>
  <si>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</si>
  <si>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</si>
  <si>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</si>
  <si>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</si>
  <si>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</si>
  <si>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</si>
  <si>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</si>
  <si>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</si>
  <si>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</si>
  <si>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</si>
  <si>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</si>
  <si>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</si>
  <si>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</si>
  <si>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</si>
  <si>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</si>
  <si>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</si>
  <si>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</si>
  <si>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</si>
  <si>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</si>
  <si>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</si>
  <si>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</si>
  <si>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</si>
  <si>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</si>
  <si>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</si>
  <si>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</si>
  <si>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</si>
  <si>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</si>
  <si>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</si>
  <si>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</si>
  <si>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</si>
  <si>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</si>
  <si>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</si>
  <si>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</si>
  <si>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</si>
  <si>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</si>
  <si>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</si>
  <si>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</si>
  <si>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</si>
  <si>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</si>
  <si>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</si>
  <si>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</si>
  <si>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</si>
  <si>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</si>
  <si>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</si>
  <si>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</si>
  <si>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</si>
  <si>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</si>
  <si>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</si>
  <si>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</si>
  <si>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</si>
  <si>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</si>
  <si>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</si>
  <si>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</si>
  <si>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</si>
  <si>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</si>
  <si>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</si>
  <si>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</si>
  <si>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</si>
  <si>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</si>
  <si>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</si>
  <si>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</si>
  <si>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</si>
  <si>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</si>
  <si>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</si>
  <si>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</si>
  <si>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</si>
  <si>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</si>
  <si>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</si>
  <si>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</si>
  <si>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</si>
  <si>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</si>
  <si>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</si>
  <si>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</si>
  <si>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</si>
  <si>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</si>
  <si>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</si>
  <si>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</si>
  <si>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</si>
  <si>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</si>
  <si>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</si>
  <si>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</si>
  <si>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</si>
  <si>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</si>
  <si>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</si>
  <si>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</si>
  <si>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</si>
  <si>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</si>
  <si>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</si>
  <si>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</si>
  <si>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</si>
  <si>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</si>
  <si>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</si>
  <si>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</si>
  <si>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</si>
  <si>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</si>
  <si>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</si>
  <si>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</si>
  <si>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</si>
  <si>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</si>
  <si>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</si>
  <si>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</si>
  <si>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</si>
  <si>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</si>
  <si>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</si>
  <si>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</si>
  <si>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</si>
  <si>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</si>
  <si>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</si>
  <si>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</si>
  <si>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</si>
  <si>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</si>
  <si>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</si>
  <si>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</si>
  <si>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</si>
  <si>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</si>
  <si>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</si>
  <si>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</si>
  <si>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</si>
  <si>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</si>
  <si>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</si>
  <si>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</si>
  <si>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</si>
  <si>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</si>
  <si>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</si>
  <si>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</si>
  <si>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</si>
  <si>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</si>
  <si>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</si>
  <si>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</si>
  <si>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</si>
  <si>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</si>
  <si>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</si>
  <si>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</si>
  <si>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</si>
  <si>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</si>
  <si>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</si>
  <si>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</si>
  <si>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</si>
  <si>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</si>
  <si>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</si>
  <si>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</si>
  <si>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</si>
  <si>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</si>
  <si>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</si>
  <si>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</si>
  <si>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</si>
  <si>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</si>
  <si>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</si>
  <si>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</si>
  <si>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</si>
  <si>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</si>
  <si>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</si>
  <si>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</si>
  <si>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</si>
  <si>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</si>
  <si>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</si>
  <si>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</si>
  <si>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</si>
  <si>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</si>
  <si>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</si>
  <si>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</si>
  <si>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</si>
  <si>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</si>
  <si>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</si>
  <si>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</si>
  <si>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</si>
  <si>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</si>
  <si>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</si>
  <si>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</si>
  <si>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</si>
  <si>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</si>
  <si>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</si>
  <si>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</si>
  <si>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</si>
  <si>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</si>
  <si>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</si>
  <si>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</si>
  <si>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</si>
  <si>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</si>
  <si>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</si>
  <si>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</si>
  <si>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</si>
  <si>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</si>
  <si>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</si>
  <si>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</si>
  <si>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</si>
  <si>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</si>
  <si>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</si>
  <si>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</si>
  <si>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</si>
  <si>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</si>
  <si>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</si>
  <si>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</si>
  <si>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</si>
  <si>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</si>
  <si>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</si>
  <si>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</si>
  <si>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</si>
  <si>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</si>
  <si>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</si>
  <si>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</si>
  <si>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</si>
  <si>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</si>
  <si>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</si>
  <si>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</si>
  <si>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</si>
  <si>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</si>
  <si>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</si>
  <si>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</si>
  <si>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</si>
  <si>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</si>
  <si>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</si>
  <si>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</si>
  <si>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</si>
  <si>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</si>
  <si>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</si>
  <si>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</si>
  <si>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</si>
  <si>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</si>
  <si>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</si>
  <si>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</si>
  <si>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</si>
  <si>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</si>
  <si>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</si>
  <si>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</si>
  <si>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</si>
  <si>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</si>
  <si>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</si>
  <si>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</si>
  <si>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</si>
  <si>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</si>
  <si>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</si>
  <si>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</si>
  <si>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</si>
  <si>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</si>
  <si>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</si>
  <si>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</si>
  <si>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</si>
  <si>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</si>
  <si>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</si>
  <si>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</si>
  <si>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</si>
  <si>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</si>
  <si>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</si>
  <si>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</si>
  <si>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</si>
  <si>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</si>
  <si>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</si>
  <si>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</si>
  <si>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</si>
  <si>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</si>
  <si>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</si>
  <si>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</si>
  <si>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</si>
  <si>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</si>
  <si>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</si>
  <si>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</si>
  <si>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</si>
  <si>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</si>
  <si>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</si>
  <si>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</si>
  <si>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</si>
  <si>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</si>
  <si>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</si>
  <si>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</si>
  <si>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</si>
  <si>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</si>
  <si>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</si>
  <si>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</si>
  <si>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</si>
  <si>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</si>
  <si>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</si>
  <si>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</si>
  <si>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</si>
  <si>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</si>
  <si>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</si>
  <si>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</si>
  <si>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</si>
  <si>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</si>
  <si>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</si>
  <si>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</si>
  <si>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</si>
  <si>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</si>
  <si>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</si>
  <si>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</si>
  <si>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</si>
  <si>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</si>
  <si>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</si>
  <si>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</si>
  <si>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</si>
  <si>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</si>
  <si>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</si>
  <si>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</si>
  <si>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</si>
  <si>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</si>
  <si>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</si>
  <si>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</si>
  <si>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</si>
  <si>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</si>
  <si>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</si>
  <si>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</si>
  <si>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</si>
  <si>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</si>
  <si>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</si>
  <si>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</si>
  <si>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</si>
  <si>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</si>
  <si>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</si>
  <si>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</si>
  <si>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</si>
  <si>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</si>
  <si>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</si>
  <si>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</si>
  <si>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</si>
  <si>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</si>
  <si>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</si>
  <si>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</si>
  <si>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</si>
  <si>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</si>
  <si>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</si>
  <si>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</si>
  <si>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</si>
  <si>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</si>
  <si>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</si>
  <si>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</si>
  <si>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</si>
  <si>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</si>
  <si>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</si>
  <si>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</si>
  <si>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</si>
  <si>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</si>
  <si>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</si>
  <si>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</si>
  <si>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</si>
  <si>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</si>
  <si>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</si>
  <si>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</si>
  <si>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</si>
  <si>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</si>
  <si>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</si>
  <si>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</si>
  <si>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</si>
  <si>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</si>
  <si>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</si>
  <si>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</si>
  <si>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</si>
  <si>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</si>
  <si>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</si>
  <si>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</si>
  <si>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</si>
  <si>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</si>
  <si>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</si>
  <si>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</si>
  <si>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</si>
  <si>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</si>
  <si>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</si>
  <si>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</si>
  <si>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</si>
  <si>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</si>
  <si>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</si>
  <si>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</si>
  <si>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</si>
  <si>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</si>
  <si>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</si>
  <si>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</si>
  <si>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</si>
  <si>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</si>
  <si>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</si>
  <si>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</si>
  <si>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</si>
  <si>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</si>
  <si>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</si>
  <si>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</si>
  <si>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</si>
  <si>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</si>
  <si>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</si>
  <si>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</si>
  <si>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</si>
  <si>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</si>
  <si>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</si>
  <si>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</si>
  <si>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</si>
  <si>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</si>
  <si>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</si>
  <si>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</si>
  <si>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</si>
  <si>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</si>
  <si>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</si>
  <si>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</si>
  <si>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</si>
  <si>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</si>
  <si>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</si>
  <si>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</si>
  <si>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</si>
  <si>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</si>
  <si>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</si>
  <si>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</si>
  <si>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</si>
  <si>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</si>
  <si>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</si>
  <si>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</si>
  <si>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</si>
  <si>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</si>
  <si>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</si>
  <si>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</si>
  <si>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</si>
  <si>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</si>
  <si>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</si>
  <si>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</si>
  <si>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</si>
  <si>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</si>
  <si>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</si>
  <si>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</si>
  <si>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</si>
  <si>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</si>
  <si>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</si>
  <si>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</si>
  <si>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</si>
  <si>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</si>
  <si>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</si>
  <si>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</si>
  <si>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</si>
  <si>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</si>
  <si>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</si>
  <si>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</si>
  <si>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</si>
  <si>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</si>
  <si>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</si>
  <si>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</si>
  <si>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</si>
  <si>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</si>
  <si>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</si>
  <si>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</si>
  <si>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</si>
  <si>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</si>
  <si>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</si>
  <si>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</si>
  <si>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</si>
  <si>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</si>
  <si>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</si>
  <si>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</si>
  <si>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</si>
  <si>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</si>
  <si>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</si>
  <si>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</si>
  <si>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</si>
  <si>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</si>
  <si>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</si>
  <si>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</si>
  <si>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</si>
  <si>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</si>
  <si>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</si>
  <si>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</si>
  <si>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</si>
  <si>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</si>
  <si>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</si>
  <si>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</si>
  <si>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</si>
  <si>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</si>
  <si>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</si>
  <si>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</si>
  <si>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</si>
  <si>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</si>
  <si>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</si>
  <si>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</si>
  <si>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</si>
  <si>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</si>
  <si>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</si>
  <si>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</si>
  <si>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</si>
  <si>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</si>
  <si>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</si>
  <si>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</si>
  <si>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</si>
  <si>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</si>
  <si>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</si>
  <si>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</si>
  <si>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</si>
  <si>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</si>
  <si>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</si>
  <si>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</si>
  <si>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</si>
  <si>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</si>
  <si>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</si>
  <si>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</si>
  <si>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</si>
  <si>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</si>
  <si>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</si>
  <si>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</si>
  <si>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</si>
  <si>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</si>
  <si>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</si>
  <si>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</si>
  <si>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</si>
  <si>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</si>
  <si>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</si>
  <si>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</si>
  <si>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</si>
  <si>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</si>
  <si>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</si>
  <si>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</si>
  <si>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</si>
  <si>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</si>
  <si>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</si>
  <si>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</si>
  <si>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</si>
  <si>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</si>
  <si>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</si>
  <si>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</si>
  <si>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</si>
  <si>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</si>
  <si>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</si>
  <si>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</si>
  <si>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</si>
  <si>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</si>
  <si>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</si>
  <si>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</si>
  <si>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</si>
  <si>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</si>
  <si>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</si>
  <si>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</si>
  <si>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</si>
  <si>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</si>
  <si>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</si>
  <si>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</si>
  <si>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</si>
  <si>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</si>
  <si>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</si>
  <si>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</si>
  <si>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</si>
  <si>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</si>
  <si>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</si>
  <si>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</si>
  <si>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</si>
  <si>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</si>
  <si>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</si>
  <si>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</si>
  <si>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</si>
  <si>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</si>
  <si>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</si>
  <si>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</si>
  <si>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</si>
  <si>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</si>
  <si>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</si>
  <si>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</si>
  <si>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</si>
  <si>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</si>
  <si>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</si>
  <si>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</si>
  <si>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</si>
  <si>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</si>
  <si>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</si>
  <si>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</si>
  <si>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</si>
  <si>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</si>
  <si>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</si>
  <si>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</si>
  <si>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</si>
  <si>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</si>
  <si>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</si>
  <si>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</si>
  <si>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</si>
  <si>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</si>
  <si>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</si>
  <si>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</si>
  <si>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</si>
  <si>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</si>
  <si>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</si>
  <si>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</si>
  <si>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</si>
  <si>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</si>
  <si>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</si>
  <si>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</si>
  <si>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</si>
  <si>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</si>
  <si>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</si>
  <si>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</si>
  <si>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</si>
  <si>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</si>
  <si>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</si>
  <si>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</si>
  <si>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</si>
  <si>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</si>
  <si>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</si>
  <si>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</si>
  <si>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</si>
  <si>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</si>
  <si>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</si>
  <si>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</si>
  <si>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</si>
  <si>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</si>
  <si>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</si>
  <si>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</si>
  <si>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</si>
  <si>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</si>
  <si>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</si>
  <si>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</si>
  <si>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</si>
  <si>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</si>
  <si>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</si>
  <si>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</si>
  <si>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</si>
  <si>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</si>
  <si>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</si>
  <si>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</si>
  <si>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</si>
  <si>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</si>
  <si>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</si>
  <si>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</si>
  <si>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</si>
  <si>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</si>
  <si>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</si>
  <si>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</si>
  <si>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</si>
  <si>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</si>
  <si>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</si>
  <si>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</si>
  <si>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</si>
  <si>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</si>
  <si>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</si>
  <si>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</si>
  <si>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</si>
  <si>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</si>
  <si>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</si>
  <si>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</si>
  <si>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</si>
  <si>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</si>
  <si>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</si>
  <si>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</si>
  <si>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</si>
  <si>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</si>
  <si>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</si>
  <si>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</si>
  <si>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</si>
  <si>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</si>
  <si>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</si>
  <si>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</si>
  <si>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</si>
  <si>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</si>
  <si>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</si>
  <si>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</si>
  <si>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</si>
  <si>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</si>
  <si>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</si>
  <si>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</si>
  <si>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</si>
  <si>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</si>
  <si>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</si>
  <si>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</si>
  <si>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</si>
  <si>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</si>
  <si>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</si>
  <si>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</si>
  <si>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</si>
  <si>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</si>
  <si>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</si>
  <si>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</si>
  <si>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</si>
  <si>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</si>
  <si>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</si>
  <si>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</si>
  <si>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</si>
  <si>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</si>
  <si>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</si>
  <si>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</si>
  <si>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</si>
  <si>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</si>
  <si>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</si>
  <si>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</si>
  <si>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</si>
  <si>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</si>
  <si>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</si>
  <si>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</si>
  <si>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</si>
  <si>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</si>
  <si>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</si>
  <si>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</si>
  <si>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</si>
  <si>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</si>
  <si>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</si>
  <si>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</si>
  <si>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</si>
  <si>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</si>
  <si>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</si>
  <si>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</si>
  <si>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</si>
  <si>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</si>
  <si>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</si>
  <si>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</si>
  <si>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</si>
  <si>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</si>
  <si>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</si>
  <si>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</si>
  <si>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</si>
  <si>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</si>
  <si>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</si>
  <si>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</si>
  <si>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</si>
  <si>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</si>
  <si>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</si>
  <si>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</si>
  <si>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</si>
  <si>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</si>
  <si>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</si>
  <si>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</si>
  <si>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</si>
  <si>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</si>
  <si>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</si>
  <si>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</si>
  <si>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</si>
  <si>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</si>
  <si>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</si>
  <si>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</si>
  <si>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</si>
  <si>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</si>
  <si>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</si>
  <si>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</si>
  <si>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</si>
  <si>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</si>
  <si>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</si>
  <si>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</si>
  <si>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</si>
  <si>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</si>
  <si>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</si>
  <si>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</si>
  <si>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</si>
  <si>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</si>
  <si>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</si>
  <si>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</si>
  <si>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</si>
  <si>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</si>
  <si>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</si>
  <si>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</si>
  <si>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</si>
  <si>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</si>
  <si>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</si>
  <si>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</si>
  <si>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</si>
  <si>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</si>
  <si>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</si>
  <si>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</si>
  <si>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</si>
  <si>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</si>
  <si>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</si>
  <si>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</si>
  <si>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</si>
  <si>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</si>
  <si>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</si>
  <si>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</si>
  <si>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</si>
  <si>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</si>
  <si>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</si>
  <si>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</si>
  <si>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</si>
  <si>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</si>
  <si>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</si>
  <si>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</si>
  <si>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</si>
  <si>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</si>
  <si>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</si>
  <si>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</si>
  <si>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</si>
  <si>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</si>
  <si>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</si>
  <si>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</si>
  <si>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</si>
  <si>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</si>
  <si>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</si>
  <si>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</si>
  <si>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</si>
  <si>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</si>
  <si>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</si>
  <si>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</si>
  <si>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</si>
  <si>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</si>
  <si>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</si>
  <si>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</si>
  <si>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</si>
  <si>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</si>
  <si>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</si>
  <si>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</si>
  <si>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</si>
  <si>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</si>
  <si>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</si>
  <si>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</si>
  <si>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</si>
  <si>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</si>
  <si>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</si>
  <si>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</si>
  <si>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</si>
  <si>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</si>
  <si>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</si>
  <si>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</si>
  <si>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</si>
  <si>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</si>
  <si>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</si>
  <si>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</si>
  <si>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</si>
  <si>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</si>
  <si>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</si>
  <si>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</si>
  <si>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</si>
  <si>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</si>
  <si>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</si>
  <si>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</si>
  <si>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</si>
  <si>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</si>
  <si>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</si>
  <si>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</si>
  <si>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</si>
  <si>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</si>
  <si>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</si>
  <si>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</si>
  <si>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</si>
  <si>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</si>
  <si>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</si>
  <si>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</si>
  <si>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</si>
  <si>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</si>
  <si>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</si>
  <si>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</si>
  <si>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</si>
  <si>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</si>
  <si>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</si>
  <si>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</si>
  <si>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</si>
  <si>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</si>
  <si>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</si>
  <si>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</si>
  <si>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</si>
  <si>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</si>
  <si>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</si>
  <si>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</si>
  <si>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</si>
  <si>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</si>
  <si>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</si>
  <si>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</si>
  <si>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</si>
  <si>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</si>
  <si>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</si>
  <si>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</si>
  <si>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</si>
  <si>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</si>
  <si>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</si>
  <si>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</si>
  <si>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</si>
  <si>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</si>
  <si>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</si>
  <si>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</si>
  <si>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</si>
  <si>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</si>
  <si>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</si>
  <si>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</si>
  <si>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</si>
  <si>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</si>
  <si>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</si>
  <si>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</si>
  <si>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</si>
  <si>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</si>
  <si>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</si>
  <si>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</si>
  <si>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</si>
  <si>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</si>
  <si>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</si>
  <si>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</si>
  <si>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</si>
  <si>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</si>
  <si>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</si>
  <si>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</si>
  <si>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</si>
  <si>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</si>
  <si>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</si>
  <si>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</si>
  <si>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</si>
  <si>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</si>
  <si>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</si>
  <si>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</si>
  <si>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</si>
  <si>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</si>
  <si>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</si>
  <si>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</si>
  <si>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</si>
  <si>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</si>
  <si>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</si>
  <si>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</si>
  <si>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</si>
  <si>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</si>
  <si>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</si>
  <si>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</si>
  <si>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</si>
  <si>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</si>
  <si>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</si>
  <si>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</si>
  <si>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</si>
  <si>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</si>
  <si>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</si>
  <si>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</si>
  <si>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</si>
  <si>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</si>
  <si>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</si>
  <si>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</si>
  <si>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</si>
  <si>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</si>
  <si>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</si>
  <si>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</si>
  <si>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</si>
  <si>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</si>
  <si>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</si>
  <si>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</si>
  <si>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</si>
  <si>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</si>
  <si>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</si>
  <si>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</si>
  <si>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</si>
  <si>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</si>
  <si>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</si>
  <si>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</si>
  <si>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</si>
  <si>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</si>
  <si>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</si>
  <si>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</si>
  <si>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</si>
  <si>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</si>
  <si>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</si>
  <si>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</si>
  <si>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</si>
  <si>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</si>
  <si>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</si>
  <si>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</si>
  <si>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</si>
  <si>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</si>
  <si>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</si>
  <si>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</si>
  <si>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</si>
  <si>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</si>
  <si>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</si>
  <si>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</si>
  <si>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</si>
  <si>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</si>
  <si>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</si>
  <si>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</si>
  <si>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</si>
  <si>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</si>
  <si>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</si>
  <si>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</si>
  <si>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</si>
  <si>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</si>
  <si>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</si>
  <si>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</si>
  <si>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</si>
  <si>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</si>
  <si>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</si>
  <si>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</si>
  <si>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</si>
  <si>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</si>
  <si>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</si>
  <si>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</si>
  <si>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</si>
  <si>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</si>
  <si>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</si>
  <si>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</si>
  <si>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</si>
  <si>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</si>
  <si>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</si>
  <si>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</si>
  <si>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</si>
  <si>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</si>
  <si>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</si>
  <si>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</si>
  <si>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</si>
  <si>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</si>
  <si>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</si>
  <si>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</si>
  <si>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</si>
  <si>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</si>
  <si>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</si>
  <si>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</si>
  <si>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</si>
  <si>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</si>
  <si>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</si>
  <si>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</si>
  <si>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</si>
  <si>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</si>
  <si>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</si>
  <si>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</si>
  <si>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</si>
  <si>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</si>
  <si>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</si>
  <si>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</si>
  <si>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</si>
  <si>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</si>
  <si>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</si>
  <si>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</si>
  <si>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</si>
  <si>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</si>
  <si>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</si>
  <si>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</si>
  <si>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</si>
  <si>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</si>
  <si>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</si>
  <si>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</si>
  <si>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</si>
  <si>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</si>
  <si>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</si>
  <si>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</si>
  <si>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</si>
  <si>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</si>
  <si>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</si>
  <si>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</si>
  <si>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</si>
  <si>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</si>
  <si>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</si>
  <si>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</si>
  <si>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</si>
  <si>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</si>
  <si>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</si>
  <si>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</si>
  <si>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</si>
  <si>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</si>
  <si>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</si>
  <si>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</si>
  <si>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</si>
  <si>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</si>
  <si>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</si>
  <si>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</si>
  <si>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</si>
  <si>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</si>
  <si>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</si>
  <si>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</si>
  <si>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</si>
  <si>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</si>
  <si>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</si>
  <si>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</si>
  <si>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</si>
  <si>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</si>
  <si>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</si>
  <si>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</si>
  <si>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</si>
  <si>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</si>
  <si>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</si>
  <si>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</si>
  <si>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</si>
  <si>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</si>
  <si>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</si>
  <si>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</si>
  <si>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</si>
  <si>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</si>
  <si>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</si>
  <si>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</si>
  <si>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</si>
  <si>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</si>
  <si>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</si>
  <si>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</si>
  <si>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</si>
  <si>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</si>
  <si>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</si>
  <si>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</si>
  <si>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</si>
  <si>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</si>
  <si>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</si>
  <si>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</si>
  <si>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</si>
  <si>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</si>
  <si>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</si>
  <si>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</si>
  <si>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</si>
  <si>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</si>
  <si>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</si>
  <si>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</si>
  <si>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</si>
  <si>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</si>
  <si>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</si>
  <si>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</si>
  <si>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</si>
  <si>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</si>
  <si>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</si>
  <si>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</si>
  <si>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</si>
  <si>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</si>
  <si>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</si>
  <si>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</si>
  <si>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</si>
  <si>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</si>
  <si>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</si>
  <si>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</si>
  <si>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</si>
  <si>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</si>
  <si>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</si>
  <si>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</si>
  <si>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</si>
  <si>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</si>
  <si>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</si>
  <si>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</si>
  <si>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</si>
  <si>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</si>
  <si>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</si>
  <si>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</si>
  <si>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</si>
  <si>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</si>
  <si>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</si>
  <si>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</si>
  <si>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</si>
  <si>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</si>
  <si>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</si>
  <si>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</si>
  <si>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</si>
  <si>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</si>
  <si>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</si>
  <si>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</si>
  <si>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</si>
  <si>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</si>
  <si>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</si>
  <si>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</si>
  <si>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</si>
  <si>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</si>
  <si>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</si>
  <si>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</si>
  <si>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</si>
  <si>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</si>
  <si>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</si>
  <si>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</si>
  <si>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</si>
  <si>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</si>
  <si>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</si>
  <si>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</si>
  <si>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</si>
  <si>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</si>
  <si>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</si>
  <si>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</si>
  <si>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</si>
  <si>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</si>
  <si>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</si>
  <si>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</si>
  <si>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</si>
  <si>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</si>
  <si>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</si>
  <si>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</si>
  <si>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</si>
  <si>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</si>
  <si>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</si>
  <si>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</si>
  <si>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</si>
  <si>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</si>
  <si>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</si>
  <si>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</si>
  <si>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</si>
  <si>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</si>
  <si>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</si>
  <si>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</si>
  <si>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</si>
  <si>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</si>
  <si>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</si>
  <si>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</si>
  <si>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</si>
  <si>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</si>
  <si>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</si>
  <si>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</si>
  <si>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</si>
  <si>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</si>
  <si>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</si>
  <si>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</si>
  <si>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</si>
  <si>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</si>
  <si>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</si>
  <si>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</si>
  <si>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</si>
  <si>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</si>
  <si>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</si>
  <si>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</si>
  <si>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</si>
  <si>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</si>
  <si>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</si>
  <si>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</si>
  <si>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</si>
  <si>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</si>
  <si>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</si>
  <si>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</si>
  <si>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</si>
  <si>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</si>
  <si>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</si>
  <si>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</si>
  <si>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</si>
  <si>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</si>
  <si>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</si>
  <si>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</si>
  <si>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</si>
  <si>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</si>
  <si>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</si>
  <si>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</si>
  <si>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</si>
  <si>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</si>
  <si>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</si>
  <si>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</si>
  <si>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</si>
  <si>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</si>
  <si>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</si>
  <si>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</si>
  <si>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</si>
  <si>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</si>
  <si>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</si>
  <si>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</si>
  <si>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</si>
  <si>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</si>
  <si>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</si>
  <si>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</si>
  <si>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</si>
  <si>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</si>
  <si>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</si>
  <si>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</si>
  <si>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</si>
  <si>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</si>
  <si>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</si>
  <si>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</si>
  <si>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</si>
  <si>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</si>
  <si>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</si>
  <si>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</si>
  <si>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</si>
  <si>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</si>
  <si>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</si>
  <si>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</si>
  <si>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</si>
  <si>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</si>
  <si>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</si>
  <si>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</si>
  <si>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</si>
  <si>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</si>
  <si>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</si>
  <si>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</si>
  <si>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</si>
  <si>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</si>
  <si>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</si>
  <si>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</si>
  <si>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</si>
  <si>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</si>
  <si>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</si>
  <si>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</si>
  <si>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</si>
  <si>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</si>
  <si>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</si>
  <si>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</si>
  <si>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</si>
  <si>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</si>
  <si>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</si>
  <si>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</si>
  <si>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</si>
  <si>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</si>
  <si>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</si>
  <si>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</si>
  <si>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</si>
  <si>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</si>
  <si>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</si>
  <si>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</si>
  <si>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</si>
  <si>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</si>
  <si>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</si>
  <si>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</si>
  <si>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</si>
  <si>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</si>
  <si>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</si>
  <si>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</si>
  <si>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</si>
  <si>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</si>
  <si>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</si>
  <si>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</si>
  <si>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</si>
  <si>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</si>
  <si>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</si>
  <si>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</si>
  <si>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</si>
  <si>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</si>
  <si>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</si>
  <si>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</si>
  <si>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</si>
  <si>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</si>
  <si>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</si>
  <si>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</si>
  <si>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</si>
  <si>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</si>
  <si>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</si>
  <si>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</si>
  <si>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</si>
  <si>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</si>
  <si>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</si>
  <si>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</si>
  <si>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</si>
  <si>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</si>
  <si>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</si>
  <si>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</si>
  <si>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</si>
  <si>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</si>
  <si>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</si>
  <si>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</si>
  <si>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</si>
  <si>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</si>
  <si>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</si>
  <si>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</si>
  <si>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</si>
  <si>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</si>
  <si>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</si>
  <si>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</si>
  <si>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</si>
  <si>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</si>
  <si>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</si>
  <si>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</si>
  <si>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</si>
  <si>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</si>
  <si>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</si>
  <si>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</si>
  <si>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</si>
  <si>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</si>
  <si>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</si>
  <si>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</si>
  <si>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</si>
  <si>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</si>
  <si>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</si>
  <si>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</si>
  <si>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</si>
  <si>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</si>
  <si>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</si>
  <si>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</si>
  <si>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</si>
  <si>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</si>
  <si>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</si>
  <si>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</si>
  <si>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</si>
  <si>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</si>
  <si>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</si>
  <si>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</si>
  <si>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</si>
  <si>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</si>
  <si>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</si>
  <si>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</si>
  <si>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</si>
  <si>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</si>
  <si>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</si>
  <si>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</si>
  <si>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</si>
  <si>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</si>
  <si>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</si>
  <si>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</si>
  <si>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</si>
  <si>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</si>
  <si>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</si>
  <si>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</si>
  <si>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</si>
  <si>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</si>
  <si>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</si>
  <si>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</si>
  <si>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</si>
  <si>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</si>
  <si>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</si>
  <si>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</si>
  <si>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</si>
  <si>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</si>
  <si>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</si>
  <si>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</si>
  <si>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</si>
  <si>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</si>
  <si>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</si>
  <si>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</si>
  <si>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</si>
  <si>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</si>
  <si>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</si>
  <si>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</si>
  <si>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</si>
  <si>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</si>
  <si>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</si>
  <si>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</si>
  <si>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</si>
  <si>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</si>
  <si>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</si>
  <si>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</si>
  <si>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</si>
  <si>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</si>
  <si>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</si>
  <si>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</si>
  <si>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</si>
  <si>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</si>
  <si>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</si>
  <si>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</si>
  <si>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</si>
  <si>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</si>
  <si>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</si>
  <si>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</si>
  <si>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</si>
  <si>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</si>
  <si>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</si>
  <si>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</si>
  <si>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</si>
  <si>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</si>
  <si>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</si>
  <si>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</si>
  <si>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</si>
  <si>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</si>
  <si>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</si>
  <si>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</si>
  <si>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</si>
  <si>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</si>
  <si>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</si>
  <si>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</si>
  <si>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</si>
  <si>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</si>
  <si>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</si>
  <si>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</si>
  <si>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</si>
  <si>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</si>
  <si>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</si>
  <si>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</si>
  <si>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</si>
  <si>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</si>
  <si>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</si>
  <si>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</si>
  <si>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</si>
  <si>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</si>
  <si>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</si>
  <si>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</si>
  <si>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</si>
  <si>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</si>
  <si>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</si>
  <si>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</si>
  <si>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</si>
  <si>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</si>
  <si>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</si>
  <si>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</si>
  <si>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</si>
  <si>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</si>
  <si>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</si>
  <si>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</si>
  <si>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</si>
  <si>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</si>
  <si>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</si>
  <si>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</si>
  <si>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</si>
  <si>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</si>
  <si>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</si>
  <si>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</si>
  <si>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</si>
  <si>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</si>
  <si>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</si>
  <si>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</si>
  <si>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</si>
  <si>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</si>
  <si>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</si>
  <si>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</si>
  <si>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</si>
  <si>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</si>
  <si>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</si>
  <si>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</si>
  <si>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</si>
  <si>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</si>
  <si>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</si>
  <si>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</si>
  <si>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</si>
  <si>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</si>
  <si>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</si>
  <si>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</si>
  <si>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</si>
  <si>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</si>
  <si>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</si>
  <si>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</si>
  <si>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</si>
  <si>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</si>
  <si>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</si>
  <si>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</si>
  <si>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</si>
  <si>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</si>
  <si>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</si>
  <si>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</si>
  <si>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</si>
  <si>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</si>
  <si>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</si>
  <si>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</si>
  <si>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</si>
  <si>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</si>
  <si>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</si>
  <si>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</si>
  <si>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</si>
  <si>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</si>
  <si>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</si>
  <si>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</si>
  <si>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</si>
  <si>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</si>
  <si>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</si>
  <si>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</si>
  <si>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</si>
  <si>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</si>
  <si>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</si>
  <si>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</si>
  <si>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</si>
  <si>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</si>
  <si>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</si>
  <si>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</si>
  <si>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</si>
  <si>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</si>
  <si>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</si>
  <si>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</si>
  <si>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</si>
  <si>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</si>
  <si>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</si>
  <si>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</si>
  <si>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</si>
  <si>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</si>
  <si>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</si>
  <si>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</si>
  <si>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</si>
  <si>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</si>
  <si>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</si>
  <si>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</si>
  <si>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</si>
  <si>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</si>
  <si>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</si>
  <si>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</si>
  <si>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</si>
  <si>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</si>
  <si>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</si>
  <si>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</si>
  <si>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</si>
  <si>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</si>
  <si>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</si>
  <si>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</si>
  <si>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</si>
  <si>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</si>
  <si>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</si>
  <si>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</si>
  <si>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</si>
  <si>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</si>
  <si>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</si>
  <si>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</si>
  <si>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</si>
  <si>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</si>
  <si>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</si>
  <si>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</si>
  <si>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</si>
  <si>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</si>
  <si>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</si>
  <si>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</si>
  <si>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</si>
  <si>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</si>
  <si>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</si>
  <si>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</si>
  <si>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</si>
  <si>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</si>
  <si>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</si>
  <si>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</si>
  <si>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</si>
  <si>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</si>
  <si>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</si>
  <si>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</si>
  <si>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</si>
  <si>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</si>
  <si>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</si>
  <si>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</si>
  <si>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</si>
  <si>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</si>
  <si>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</si>
  <si>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</si>
  <si>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</si>
  <si>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</si>
  <si>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</si>
  <si>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</si>
  <si>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</si>
  <si>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</si>
  <si>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</si>
  <si>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</si>
  <si>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</si>
  <si>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</si>
  <si>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</si>
  <si>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</si>
  <si>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</si>
  <si>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</si>
  <si>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</si>
  <si>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</si>
  <si>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</si>
  <si>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</si>
  <si>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</si>
  <si>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</si>
  <si>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</si>
  <si>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</si>
  <si>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</si>
  <si>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</si>
  <si>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</si>
  <si>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</si>
  <si>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</si>
  <si>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</si>
  <si>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</si>
  <si>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</si>
  <si>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</si>
  <si>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</si>
  <si>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</si>
  <si>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</si>
  <si>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</si>
  <si>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</si>
  <si>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</si>
  <si>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</si>
  <si>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</si>
  <si>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</si>
  <si>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</si>
  <si>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</si>
  <si>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</si>
  <si>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</si>
  <si>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</si>
  <si>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</si>
  <si>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</si>
  <si>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</si>
  <si>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</si>
  <si>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</si>
  <si>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</si>
  <si>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</si>
  <si>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</si>
  <si>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</si>
  <si>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</si>
  <si>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</si>
  <si>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</si>
  <si>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</si>
  <si>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</si>
  <si>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</si>
  <si>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</si>
  <si>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</si>
  <si>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</si>
  <si>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</si>
  <si>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</si>
  <si>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</si>
  <si>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</si>
  <si>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</si>
  <si>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</si>
  <si>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</si>
  <si>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</si>
  <si>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</si>
  <si>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</si>
  <si>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</si>
  <si>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</si>
  <si>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</si>
  <si>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</si>
  <si>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</si>
  <si>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</si>
  <si>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</si>
  <si>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</si>
  <si>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</si>
  <si>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</si>
  <si>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</si>
  <si>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</si>
  <si>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</si>
  <si>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</si>
  <si>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</si>
  <si>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</si>
  <si>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</si>
  <si>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</si>
  <si>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</si>
  <si>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</si>
  <si>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</si>
  <si>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</si>
  <si>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</si>
  <si>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</si>
  <si>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</si>
  <si>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</si>
  <si>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</si>
  <si>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</si>
  <si>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</si>
  <si>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</si>
  <si>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</si>
  <si>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</si>
  <si>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</si>
  <si>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</si>
  <si>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</si>
  <si>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</si>
  <si>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</si>
  <si>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</si>
  <si>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</si>
  <si>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</si>
  <si>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</si>
  <si>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</si>
  <si>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</si>
  <si>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</si>
  <si>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</si>
  <si>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</si>
  <si>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</si>
  <si>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</si>
  <si>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</si>
  <si>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</si>
  <si>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</si>
  <si>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</si>
  <si>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</si>
  <si>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</si>
  <si>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</si>
  <si>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</si>
  <si>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</si>
  <si>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</si>
  <si>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</si>
  <si>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</si>
  <si>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</si>
  <si>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</si>
  <si>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</si>
  <si>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</si>
  <si>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</si>
  <si>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</si>
  <si>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</si>
  <si>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</si>
  <si>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</si>
  <si>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</si>
  <si>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</si>
  <si>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</si>
  <si>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</si>
  <si>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</si>
  <si>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</si>
  <si>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</si>
  <si>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</si>
  <si>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</si>
  <si>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</si>
  <si>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</si>
  <si>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</si>
  <si>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</si>
  <si>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</si>
  <si>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</si>
  <si>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</si>
  <si>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</si>
  <si>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</si>
  <si>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</si>
  <si>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</si>
  <si>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</si>
  <si>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</si>
  <si>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</si>
  <si>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</si>
  <si>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</si>
  <si>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</si>
  <si>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</si>
  <si>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</si>
  <si>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</si>
  <si>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</si>
  <si>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</si>
  <si>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</si>
  <si>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</si>
  <si>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</si>
  <si>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</si>
  <si>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</si>
  <si>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</si>
  <si>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</si>
  <si>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</si>
  <si>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</si>
  <si>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</si>
  <si>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</si>
  <si>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</si>
  <si>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</si>
  <si>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</si>
  <si>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</si>
  <si>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</si>
  <si>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</si>
  <si>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</si>
  <si>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</si>
  <si>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</si>
  <si>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</si>
  <si>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</si>
  <si>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</si>
  <si>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</si>
  <si>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</si>
  <si>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</si>
  <si>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</si>
  <si>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</si>
  <si>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</si>
  <si>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</si>
  <si>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</si>
  <si>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</si>
  <si>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</si>
  <si>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</si>
  <si>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</si>
  <si>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</si>
  <si>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</si>
  <si>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</si>
  <si>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</si>
  <si>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</si>
  <si>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</si>
  <si>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</si>
  <si>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</si>
  <si>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</si>
  <si>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</si>
  <si>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</si>
  <si>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</si>
  <si>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</si>
  <si>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</si>
  <si>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</si>
  <si>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</si>
  <si>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</si>
  <si>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</si>
  <si>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</si>
  <si>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</si>
  <si>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</si>
  <si>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</si>
  <si>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</si>
  <si>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</si>
  <si>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</si>
  <si>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</si>
  <si>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</si>
  <si>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</si>
  <si>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</si>
  <si>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</si>
  <si>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</si>
  <si>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</si>
  <si>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</si>
  <si>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</si>
  <si>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</si>
  <si>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</si>
  <si>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</si>
  <si>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</si>
  <si>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</si>
  <si>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</si>
  <si>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</si>
  <si>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</si>
  <si>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</si>
  <si>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</si>
  <si>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</si>
  <si>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</si>
  <si>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</si>
  <si>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</si>
  <si>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</si>
  <si>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</si>
  <si>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</si>
  <si>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</si>
  <si>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</si>
  <si>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</si>
  <si>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</si>
  <si>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</si>
  <si>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</si>
  <si>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</si>
  <si>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</si>
  <si>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</si>
  <si>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</si>
  <si>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</si>
  <si>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</si>
  <si>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</si>
  <si>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</si>
  <si>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</si>
  <si>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</si>
  <si>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</si>
  <si>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</si>
  <si>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</si>
  <si>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</si>
  <si>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</si>
  <si>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</si>
  <si>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</si>
  <si>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</si>
  <si>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</si>
  <si>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</si>
  <si>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</si>
  <si>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</si>
  <si>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</si>
  <si>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</si>
  <si>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</si>
  <si>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</si>
  <si>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</si>
  <si>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</si>
  <si>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</si>
  <si>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</si>
  <si>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</si>
  <si>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</si>
  <si>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</si>
  <si>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</si>
  <si>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</si>
  <si>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</si>
  <si>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</si>
  <si>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</si>
  <si>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</si>
  <si>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</si>
  <si>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</si>
  <si>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</si>
  <si>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</si>
  <si>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</si>
  <si>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</si>
  <si>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</si>
  <si>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</si>
  <si>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</si>
  <si>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</si>
  <si>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</si>
  <si>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</si>
  <si>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</si>
  <si>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</si>
  <si>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</si>
  <si>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</si>
  <si>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</si>
  <si>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</si>
  <si>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</si>
  <si>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</si>
  <si>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</si>
  <si>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</si>
  <si>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</si>
  <si>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</si>
  <si>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</si>
  <si>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</si>
  <si>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</si>
  <si>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</si>
  <si>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</si>
  <si>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</si>
  <si>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</si>
  <si>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</si>
  <si>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</si>
  <si>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</si>
  <si>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</si>
  <si>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</si>
  <si>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</si>
  <si>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</si>
  <si>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</si>
  <si>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</si>
  <si>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</si>
  <si>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</si>
  <si>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</si>
  <si>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</si>
  <si>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</si>
  <si>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</si>
  <si>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</si>
  <si>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</si>
  <si>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</si>
  <si>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</si>
  <si>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</si>
  <si>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</si>
  <si>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</si>
  <si>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</si>
  <si>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</si>
  <si>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</si>
  <si>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</si>
  <si>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</si>
  <si>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</si>
  <si>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</si>
  <si>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</si>
  <si>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</si>
  <si>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</si>
  <si>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</si>
  <si>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</si>
  <si>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</si>
  <si>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</si>
  <si>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</si>
  <si>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</si>
  <si>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</si>
  <si>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</si>
  <si>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</si>
  <si>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</si>
  <si>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</si>
  <si>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</si>
  <si>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</si>
  <si>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</si>
  <si>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</si>
  <si>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</si>
  <si>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</si>
  <si>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</si>
  <si>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</si>
  <si>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</si>
  <si>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</si>
  <si>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</si>
  <si>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</si>
  <si>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</si>
  <si>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</si>
  <si>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</si>
  <si>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</si>
  <si>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</si>
  <si>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</si>
  <si>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</si>
  <si>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</si>
  <si>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</si>
  <si>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</si>
  <si>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</si>
  <si>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</si>
  <si>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</si>
  <si>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</si>
  <si>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</si>
  <si>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</si>
  <si>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</si>
  <si>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</si>
  <si>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</si>
  <si>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</si>
  <si>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</si>
  <si>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</si>
  <si>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</si>
  <si>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</si>
  <si>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</si>
  <si>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</si>
  <si>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</si>
  <si>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</si>
  <si>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</si>
  <si>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</si>
  <si>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</si>
  <si>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</si>
  <si>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</si>
  <si>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</si>
  <si>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</si>
  <si>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</si>
  <si>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</si>
  <si>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</si>
  <si>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</si>
  <si>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</si>
  <si>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</si>
  <si>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</si>
  <si>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</si>
  <si>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</si>
  <si>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</si>
  <si>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</si>
  <si>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</si>
  <si>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</si>
  <si>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</si>
  <si>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</si>
  <si>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</si>
  <si>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</si>
  <si>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</si>
  <si>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</si>
  <si>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</si>
  <si>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</si>
  <si>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</si>
  <si>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</si>
  <si>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</si>
  <si>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</si>
  <si>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</si>
  <si>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</si>
  <si>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</si>
  <si>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</si>
  <si>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</si>
  <si>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</si>
  <si>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</si>
  <si>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</si>
  <si>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</si>
  <si>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</si>
  <si>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</si>
  <si>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</si>
  <si>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</si>
  <si>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</si>
  <si>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</si>
  <si>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</si>
  <si>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</si>
  <si>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</si>
  <si>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</si>
  <si>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</si>
  <si>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</si>
  <si>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</si>
  <si>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</si>
  <si>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</si>
  <si>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</si>
  <si>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</si>
  <si>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</si>
  <si>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</si>
  <si>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</si>
  <si>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</si>
  <si>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</si>
  <si>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</si>
  <si>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</si>
  <si>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</si>
  <si>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</si>
  <si>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</si>
  <si>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</si>
  <si>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</si>
  <si>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</si>
  <si>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</si>
  <si>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</si>
  <si>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</si>
  <si>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</si>
  <si>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</si>
  <si>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</si>
  <si>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</si>
  <si>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</si>
  <si>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</si>
  <si>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</si>
  <si>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</si>
  <si>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</si>
  <si>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</si>
  <si>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</si>
  <si>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</si>
  <si>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</si>
  <si>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</si>
  <si>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</si>
  <si>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</si>
  <si>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</si>
  <si>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</si>
  <si>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</si>
  <si>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</si>
  <si>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</si>
  <si>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</si>
  <si>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</si>
  <si>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</si>
  <si>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</si>
  <si>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</si>
  <si>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</si>
  <si>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</si>
  <si>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</si>
  <si>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</si>
  <si>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</si>
  <si>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</si>
  <si>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</si>
  <si>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</si>
  <si>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</si>
  <si>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</si>
  <si>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</si>
  <si>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</si>
  <si>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</si>
  <si>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</si>
  <si>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</si>
  <si>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</si>
  <si>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</si>
  <si>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</si>
  <si>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</si>
  <si>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</si>
  <si>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</si>
  <si>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</si>
  <si>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</si>
  <si>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</si>
  <si>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</si>
  <si>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</si>
  <si>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</si>
  <si>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</si>
  <si>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</si>
  <si>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</si>
  <si>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</si>
  <si>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</si>
  <si>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</si>
  <si>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</si>
  <si>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</si>
  <si>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</si>
  <si>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</si>
  <si>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</si>
  <si>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</si>
  <si>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</si>
  <si>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</si>
  <si>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</si>
  <si>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</si>
  <si>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</si>
  <si>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</si>
  <si>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</si>
  <si>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</si>
  <si>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</si>
  <si>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</si>
  <si>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</si>
  <si>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</si>
  <si>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</si>
  <si>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</si>
  <si>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</si>
  <si>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</si>
  <si>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</si>
  <si>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</si>
  <si>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</si>
  <si>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</si>
  <si>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</si>
  <si>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</si>
  <si>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</si>
  <si>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</si>
  <si>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</si>
  <si>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</si>
  <si>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</si>
  <si>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</si>
  <si>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</si>
  <si>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</si>
  <si>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</si>
  <si>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</si>
  <si>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</si>
  <si>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</si>
  <si>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</si>
  <si>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</si>
  <si>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</si>
  <si>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</si>
  <si>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</si>
  <si>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</si>
  <si>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</si>
  <si>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</si>
  <si>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</si>
  <si>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</si>
  <si>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</si>
  <si>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</si>
  <si>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</si>
  <si>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</si>
  <si>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</si>
  <si>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</si>
  <si>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</si>
  <si>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</si>
  <si>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</si>
  <si>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</si>
  <si>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</si>
  <si>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</si>
  <si>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</si>
  <si>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</si>
  <si>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</si>
  <si>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</si>
  <si>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</si>
  <si>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</si>
  <si>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</si>
  <si>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</si>
  <si>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</si>
  <si>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</si>
  <si>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</si>
  <si>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</si>
  <si>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</si>
  <si>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</si>
  <si>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</si>
  <si>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</si>
  <si>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</si>
  <si>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</si>
  <si>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</si>
  <si>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</si>
  <si>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</si>
  <si>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</si>
  <si>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</si>
  <si>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</si>
  <si>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</si>
  <si>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</si>
  <si>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</si>
  <si>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</si>
  <si>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</si>
  <si>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</si>
  <si>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</si>
  <si>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</si>
  <si>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</si>
  <si>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</si>
  <si>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</si>
  <si>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</si>
  <si>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</si>
  <si>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</si>
  <si>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</si>
  <si>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</si>
  <si>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</si>
  <si>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</si>
  <si>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</si>
  <si>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</si>
  <si>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</si>
  <si>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</si>
  <si>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</si>
  <si>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</si>
  <si>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</si>
  <si>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</si>
  <si>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</si>
  <si>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</si>
  <si>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</si>
  <si>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</si>
  <si>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</si>
  <si>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</si>
  <si>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</si>
  <si>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</si>
  <si>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</si>
  <si>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</si>
  <si>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</si>
  <si>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</si>
  <si>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</si>
  <si>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</si>
  <si>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</si>
  <si>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</si>
  <si>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</si>
  <si>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</si>
  <si>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</si>
  <si>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</si>
  <si>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</si>
  <si>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</si>
  <si>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</si>
  <si>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</si>
  <si>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</si>
  <si>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</si>
  <si>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</si>
  <si>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</si>
  <si>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</si>
  <si>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</si>
  <si>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</si>
  <si>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</si>
  <si>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</si>
  <si>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</si>
  <si>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</si>
  <si>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</si>
  <si>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</si>
  <si>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</si>
  <si>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</si>
  <si>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</si>
  <si>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</si>
  <si>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</si>
  <si>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</si>
  <si>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</si>
  <si>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</si>
  <si>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</si>
  <si>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</si>
  <si>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</si>
  <si>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</si>
  <si>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</si>
  <si>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</si>
  <si>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</si>
  <si>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</si>
  <si>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</si>
  <si>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</si>
  <si>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</si>
  <si>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</si>
  <si>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</si>
  <si>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</si>
  <si>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</si>
  <si>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</si>
  <si>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</si>
  <si>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</si>
  <si>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</si>
  <si>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</si>
  <si>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</si>
  <si>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</si>
  <si>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</si>
  <si>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</si>
  <si>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</si>
  <si>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</si>
  <si>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</si>
  <si>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</si>
  <si>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</si>
  <si>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</si>
  <si>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</si>
  <si>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</si>
  <si>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</si>
  <si>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</si>
  <si>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</si>
  <si>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</si>
  <si>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</si>
  <si>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</si>
  <si>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</si>
  <si>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</si>
  <si>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</si>
  <si>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</si>
  <si>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</si>
  <si>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</si>
  <si>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</si>
  <si>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</si>
  <si>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</si>
  <si>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</si>
  <si>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</si>
  <si>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</si>
  <si>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</si>
  <si>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</si>
  <si>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</si>
  <si>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</si>
  <si>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</si>
  <si>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</si>
  <si>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</si>
  <si>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</si>
  <si>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</si>
  <si>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</si>
  <si>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</si>
  <si>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</si>
  <si>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</si>
  <si>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</si>
  <si>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</si>
  <si>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</si>
  <si>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</si>
  <si>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</si>
  <si>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</si>
  <si>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</si>
  <si>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</si>
  <si>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</si>
  <si>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</si>
  <si>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</si>
  <si>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</si>
  <si>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</si>
  <si>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</si>
  <si>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</si>
  <si>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</si>
  <si>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</si>
  <si>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</si>
  <si>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</si>
  <si>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</si>
  <si>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</si>
  <si>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</si>
  <si>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</si>
  <si>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</si>
  <si>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</si>
  <si>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</si>
  <si>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</si>
  <si>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</si>
  <si>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</si>
  <si>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</si>
  <si>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</si>
  <si>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</si>
  <si>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</si>
  <si>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</si>
  <si>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</si>
  <si>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</si>
  <si>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</si>
  <si>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</si>
  <si>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</si>
  <si>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</si>
  <si>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</si>
  <si>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</si>
  <si>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</si>
  <si>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</si>
  <si>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</si>
  <si>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</si>
  <si>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</si>
  <si>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</si>
  <si>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</si>
  <si>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</si>
  <si>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</si>
  <si>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</si>
  <si>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</si>
  <si>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</si>
  <si>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</si>
  <si>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</si>
  <si>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</si>
  <si>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</si>
  <si>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</si>
  <si>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</si>
  <si>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</si>
  <si>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</si>
  <si>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</si>
  <si>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</si>
  <si>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</si>
  <si>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</si>
  <si>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</si>
  <si>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</si>
  <si>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</si>
  <si>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</si>
  <si>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</si>
  <si>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</si>
  <si>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</si>
  <si>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</si>
  <si>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</si>
  <si>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</si>
  <si>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</si>
  <si>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</si>
  <si>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</si>
  <si>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</si>
  <si>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</si>
  <si>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</si>
  <si>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</si>
  <si>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</si>
  <si>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</si>
  <si>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</si>
  <si>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</si>
  <si>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</si>
  <si>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</si>
  <si>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</si>
  <si>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</si>
  <si>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</si>
  <si>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</si>
  <si>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</si>
  <si>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</si>
  <si>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</si>
  <si>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</si>
  <si>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</si>
  <si>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</si>
  <si>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</si>
  <si>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</si>
  <si>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</si>
  <si>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</si>
  <si>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</si>
  <si>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</si>
  <si>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</si>
  <si>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</si>
  <si>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</si>
  <si>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</si>
  <si>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</si>
  <si>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</si>
  <si>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</si>
  <si>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</si>
  <si>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</si>
  <si>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</si>
  <si>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</si>
  <si>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</si>
  <si>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</si>
  <si>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</si>
  <si>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</si>
  <si>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</si>
  <si>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</si>
  <si>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</si>
  <si>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</si>
  <si>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</si>
  <si>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</si>
  <si>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</si>
  <si>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</si>
  <si>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</si>
  <si>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</si>
  <si>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</si>
  <si>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</si>
  <si>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</si>
  <si>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</si>
  <si>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</si>
  <si>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</si>
  <si>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</si>
  <si>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</si>
  <si>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</si>
  <si>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</si>
  <si>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</si>
  <si>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</si>
  <si>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</si>
  <si>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</si>
  <si>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</si>
  <si>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</si>
  <si>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</si>
  <si>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</si>
  <si>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</si>
  <si>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</si>
  <si>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</si>
  <si>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</si>
  <si>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</si>
  <si>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</si>
  <si>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</si>
  <si>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</si>
  <si>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</si>
  <si>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</si>
  <si>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</si>
  <si>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</si>
  <si>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</si>
  <si>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</si>
  <si>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</si>
  <si>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</si>
  <si>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</si>
  <si>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</si>
  <si>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</si>
  <si>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</si>
  <si>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</si>
  <si>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</si>
  <si>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</si>
  <si>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</si>
  <si>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</si>
  <si>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</si>
  <si>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</si>
  <si>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</si>
  <si>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</si>
  <si>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</si>
  <si>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</si>
  <si>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</si>
  <si>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</si>
  <si>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</si>
  <si>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</si>
  <si>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</si>
  <si>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</si>
  <si>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</si>
  <si>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</si>
  <si>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</si>
  <si>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</si>
  <si>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</si>
  <si>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</si>
  <si>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</si>
  <si>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</si>
  <si>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</si>
  <si>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</si>
  <si>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</si>
  <si>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</si>
  <si>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</si>
  <si>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</si>
  <si>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</si>
  <si>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</si>
  <si>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</si>
  <si>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</si>
  <si>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</si>
  <si>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</si>
  <si>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</si>
  <si>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</si>
  <si>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</si>
  <si>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</si>
  <si>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</si>
  <si>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</si>
  <si>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</si>
  <si>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</si>
  <si>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</si>
  <si>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</si>
  <si>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</si>
  <si>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</si>
  <si>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</si>
  <si>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</si>
  <si>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</si>
  <si>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</si>
  <si>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</si>
  <si>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</si>
  <si>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</si>
  <si>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</si>
  <si>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</si>
  <si>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</si>
  <si>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</si>
  <si>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</si>
  <si>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</si>
  <si>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</si>
  <si>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</si>
  <si>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</si>
  <si>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</si>
  <si>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</si>
  <si>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</si>
  <si>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</si>
  <si>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</si>
  <si>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</si>
  <si>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</si>
  <si>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</si>
  <si>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</si>
  <si>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</si>
  <si>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</si>
  <si>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</si>
  <si>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</si>
  <si>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</si>
  <si>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</si>
  <si>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</si>
  <si>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</si>
  <si>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</si>
  <si>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</si>
  <si>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</si>
  <si>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</si>
  <si>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</si>
  <si>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</si>
  <si>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</si>
  <si>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</si>
  <si>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</si>
  <si>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</si>
  <si>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</si>
  <si>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</si>
  <si>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</si>
  <si>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</si>
  <si>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</si>
  <si>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</si>
  <si>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</si>
  <si>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</si>
  <si>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</si>
  <si>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</si>
  <si>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</si>
  <si>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</si>
  <si>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</si>
  <si>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</si>
  <si>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</si>
  <si>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</si>
  <si>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</si>
  <si>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</si>
  <si>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</si>
  <si>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</si>
  <si>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</si>
  <si>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</si>
  <si>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</si>
  <si>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</si>
  <si>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</si>
  <si>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</si>
  <si>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</si>
  <si>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</si>
  <si>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</si>
  <si>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</si>
  <si>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</si>
  <si>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</si>
  <si>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</si>
  <si>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</si>
  <si>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</si>
  <si>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</si>
  <si>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</si>
  <si>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</si>
  <si>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</si>
  <si>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</si>
  <si>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</si>
  <si>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</si>
  <si>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</si>
  <si>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</si>
  <si>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</si>
  <si>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</si>
  <si>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</si>
  <si>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</si>
  <si>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</si>
  <si>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</si>
  <si>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</si>
  <si>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</si>
  <si>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</si>
  <si>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</si>
  <si>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</si>
  <si>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</si>
  <si>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</si>
  <si>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</si>
  <si>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</si>
  <si>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</si>
  <si>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</si>
  <si>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</si>
  <si>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</si>
  <si>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</si>
  <si>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</si>
  <si>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</si>
  <si>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</si>
  <si>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</si>
  <si>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</si>
  <si>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</si>
  <si>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</si>
  <si>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</si>
  <si>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</si>
  <si>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</si>
  <si>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</si>
  <si>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</si>
  <si>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</si>
  <si>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</si>
  <si>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</si>
  <si>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</si>
  <si>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</si>
  <si>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</si>
  <si>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</si>
  <si>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</si>
  <si>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</si>
  <si>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</si>
  <si>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</si>
  <si>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</si>
  <si>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</si>
  <si>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</si>
  <si>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</si>
  <si>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</si>
  <si>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</si>
  <si>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</si>
  <si>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</si>
  <si>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</si>
  <si>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</si>
  <si>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</si>
  <si>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</si>
  <si>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</si>
  <si>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</si>
  <si>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</si>
  <si>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</si>
  <si>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</si>
  <si>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</si>
  <si>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</si>
  <si>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</si>
  <si>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</si>
  <si>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</si>
  <si>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</si>
  <si>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</si>
  <si>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</si>
  <si>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</si>
  <si>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</si>
  <si>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</si>
  <si>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</si>
  <si>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</si>
  <si>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</si>
  <si>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</si>
  <si>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</si>
  <si>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</si>
  <si>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</si>
  <si>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</si>
  <si>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</si>
  <si>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</si>
  <si>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</si>
  <si>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</si>
  <si>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</si>
  <si>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</si>
  <si>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</si>
  <si>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</si>
  <si>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</si>
  <si>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</si>
  <si>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</si>
  <si>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</si>
  <si>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</si>
  <si>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</si>
  <si>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</si>
  <si>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</si>
  <si>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</si>
  <si>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</si>
  <si>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</si>
  <si>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</si>
  <si>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</si>
  <si>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</si>
  <si>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</si>
  <si>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</si>
  <si>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</si>
  <si>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</si>
  <si>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</si>
  <si>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</si>
  <si>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</si>
  <si>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</si>
  <si>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</si>
  <si>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</si>
  <si>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</si>
  <si>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</si>
  <si>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</si>
  <si>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</si>
  <si>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</si>
  <si>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</si>
  <si>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</si>
  <si>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</si>
  <si>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</si>
  <si>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</si>
  <si>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</si>
  <si>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</si>
  <si>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</si>
  <si>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</si>
  <si>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</si>
  <si>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</si>
  <si>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</si>
  <si>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</si>
  <si>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</si>
  <si>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</si>
  <si>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</si>
  <si>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</si>
  <si>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</si>
  <si>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</si>
  <si>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</si>
  <si>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</si>
  <si>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</si>
  <si>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</si>
  <si>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</si>
  <si>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</si>
  <si>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</si>
  <si>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</si>
  <si>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</si>
  <si>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</si>
  <si>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</si>
  <si>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</si>
  <si>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</si>
  <si>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</si>
  <si>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</si>
  <si>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</si>
  <si>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</si>
  <si>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</si>
  <si>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</si>
  <si>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</si>
  <si>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</si>
  <si>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</si>
  <si>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</si>
  <si>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</si>
  <si>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</si>
  <si>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</si>
  <si>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</si>
  <si>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</si>
  <si>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</si>
  <si>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</si>
  <si>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</si>
  <si>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</si>
  <si>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</si>
  <si>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</si>
  <si>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</si>
  <si>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</si>
  <si>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</si>
  <si>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</si>
  <si>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</si>
  <si>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</si>
  <si>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</si>
  <si>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</si>
  <si>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</si>
  <si>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</si>
  <si>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</si>
  <si>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</si>
  <si>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</si>
  <si>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</si>
  <si>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</si>
  <si>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</si>
  <si>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</si>
  <si>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</si>
  <si>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</si>
  <si>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</si>
  <si>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</si>
  <si>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</si>
  <si>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</si>
  <si>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</si>
  <si>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</si>
  <si>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</si>
  <si>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</si>
  <si>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</si>
  <si>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</si>
  <si>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</si>
  <si>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</si>
  <si>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</si>
  <si>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</si>
  <si>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</si>
  <si>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</si>
  <si>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</si>
  <si>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</si>
  <si>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</si>
  <si>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</si>
  <si>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</si>
  <si>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</si>
  <si>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</si>
  <si>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</si>
  <si>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</si>
  <si>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</si>
  <si>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</si>
  <si>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</si>
  <si>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</si>
  <si>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</si>
  <si>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</si>
  <si>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</si>
  <si>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</si>
  <si>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</si>
  <si>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</si>
  <si>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</si>
  <si>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</si>
  <si>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</si>
  <si>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</si>
  <si>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</si>
  <si>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</si>
  <si>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</si>
  <si>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</si>
  <si>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</si>
  <si>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</si>
  <si>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</si>
  <si>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</si>
  <si>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</si>
  <si>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</si>
  <si>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</si>
  <si>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</si>
  <si>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</si>
  <si>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</si>
  <si>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</si>
  <si>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</si>
  <si>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</si>
  <si>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</si>
  <si>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</si>
  <si>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</si>
  <si>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</si>
  <si>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</si>
  <si>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</si>
  <si>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</si>
  <si>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</si>
  <si>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</si>
  <si>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</si>
  <si>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</si>
  <si>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</si>
  <si>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</si>
  <si>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</si>
  <si>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</si>
  <si>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</si>
  <si>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</si>
  <si>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</si>
  <si>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</si>
  <si>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</si>
  <si>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</si>
  <si>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</si>
  <si>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</si>
  <si>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</si>
  <si>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</si>
  <si>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</si>
  <si>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</si>
  <si>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</si>
  <si>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</si>
  <si>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</si>
  <si>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</si>
  <si>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</si>
  <si>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</si>
  <si>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</si>
  <si>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</si>
  <si>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</si>
  <si>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</si>
  <si>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</si>
  <si>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</si>
  <si>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</si>
  <si>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</si>
  <si>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</si>
  <si>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</si>
  <si>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</si>
  <si>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</si>
  <si>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</si>
  <si>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</si>
  <si>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</si>
  <si>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</si>
  <si>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</si>
  <si>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</si>
  <si>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</si>
  <si>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</si>
  <si>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</si>
  <si>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</si>
  <si>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</si>
  <si>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</si>
  <si>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</si>
  <si>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</si>
  <si>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</si>
  <si>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</si>
  <si>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</si>
  <si>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</si>
  <si>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</si>
  <si>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</si>
  <si>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</si>
  <si>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</si>
  <si>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</si>
  <si>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</si>
  <si>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</si>
  <si>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</si>
  <si>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</si>
  <si>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</si>
  <si>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</si>
  <si>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</si>
  <si>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</si>
  <si>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</si>
  <si>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</si>
  <si>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</si>
  <si>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</si>
  <si>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</si>
  <si>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</si>
  <si>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</si>
  <si>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</si>
  <si>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</si>
  <si>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</si>
  <si>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</si>
  <si>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</si>
  <si>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</si>
  <si>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</si>
  <si>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</si>
  <si>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</si>
  <si>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</si>
  <si>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</si>
  <si>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</si>
  <si>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</si>
  <si>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</si>
  <si>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</si>
  <si>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</si>
  <si>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</si>
  <si>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</si>
  <si>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</si>
  <si>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</si>
  <si>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</si>
  <si>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</si>
  <si>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</si>
  <si>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</si>
  <si>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</si>
  <si>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</si>
  <si>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</si>
  <si>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</si>
  <si>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</si>
  <si>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</si>
  <si>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</si>
  <si>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</si>
  <si>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</si>
  <si>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</si>
  <si>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</si>
  <si>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</si>
  <si>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</si>
  <si>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</si>
  <si>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</si>
  <si>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</si>
  <si>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</si>
  <si>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</si>
  <si>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</si>
  <si>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</si>
  <si>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</si>
  <si>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</si>
  <si>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</si>
  <si>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</si>
  <si>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</si>
  <si>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</si>
  <si>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</si>
  <si>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</si>
  <si>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</si>
  <si>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</si>
  <si>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</si>
  <si>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</si>
  <si>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</si>
  <si>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</si>
  <si>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</si>
  <si>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</si>
  <si>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</si>
  <si>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</si>
  <si>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</si>
  <si>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</si>
  <si>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</si>
  <si>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</si>
  <si>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</si>
  <si>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</si>
  <si>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</si>
  <si>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</si>
  <si>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</si>
  <si>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</si>
  <si>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</si>
  <si>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</si>
  <si>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</si>
  <si>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</si>
  <si>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</si>
  <si>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</si>
  <si>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</si>
  <si>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</si>
  <si>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</si>
  <si>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</si>
  <si>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</si>
  <si>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</si>
  <si>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</si>
  <si>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</si>
  <si>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</si>
  <si>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</si>
  <si>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</si>
  <si>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</si>
  <si>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</si>
  <si>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</si>
  <si>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</si>
  <si>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</si>
  <si>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</si>
  <si>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</si>
  <si>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</si>
  <si>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</si>
  <si>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</si>
  <si>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</si>
  <si>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</si>
  <si>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</si>
  <si>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</si>
  <si>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</si>
  <si>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</si>
  <si>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</si>
  <si>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</si>
  <si>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</si>
  <si>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</si>
  <si>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</si>
  <si>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</si>
  <si>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</si>
  <si>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</si>
  <si>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</si>
  <si>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</si>
  <si>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</si>
  <si>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</si>
  <si>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</si>
  <si>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</si>
  <si>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</si>
  <si>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</si>
  <si>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</si>
  <si>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</si>
  <si>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</si>
  <si>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</si>
  <si>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</si>
  <si>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</si>
  <si>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</si>
  <si>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</si>
  <si>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</si>
  <si>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</si>
  <si>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</si>
  <si>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</si>
  <si>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</si>
  <si>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</si>
  <si>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</si>
  <si>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</si>
  <si>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</si>
  <si>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</si>
  <si>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</si>
  <si>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</si>
  <si>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</si>
  <si>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</si>
  <si>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</si>
  <si>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</si>
  <si>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</si>
  <si>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</si>
  <si>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</si>
  <si>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</si>
  <si>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</si>
  <si>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</si>
  <si>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</si>
  <si>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</si>
  <si>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</si>
  <si>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</si>
  <si>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</si>
  <si>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</si>
  <si>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</si>
  <si>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</si>
  <si>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</si>
  <si>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</si>
  <si>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</si>
  <si>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</si>
  <si>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</si>
  <si>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</si>
  <si>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</si>
  <si>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</si>
  <si>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</si>
  <si>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</si>
  <si>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</si>
  <si>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</si>
  <si>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</si>
  <si>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</si>
  <si>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</si>
  <si>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</si>
  <si>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</si>
  <si>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</si>
  <si>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</si>
  <si>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</si>
  <si>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</si>
  <si>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</si>
  <si>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</si>
  <si>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</si>
  <si>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</si>
  <si>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</si>
  <si>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</si>
  <si>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</si>
  <si>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</si>
  <si>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</si>
  <si>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</si>
  <si>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</si>
  <si>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</si>
  <si>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</si>
  <si>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</si>
  <si>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</si>
  <si>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</si>
  <si>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</si>
  <si>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</si>
  <si>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</si>
  <si>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</si>
  <si>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</si>
  <si>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</si>
  <si>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</si>
  <si>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</si>
  <si>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</si>
  <si>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</si>
  <si>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</si>
  <si>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</si>
  <si>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</si>
  <si>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</si>
  <si>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</si>
  <si>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</si>
  <si>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</si>
  <si>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</si>
  <si>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</si>
  <si>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</si>
  <si>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</si>
  <si>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</si>
  <si>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</si>
  <si>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</si>
  <si>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</si>
  <si>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</si>
  <si>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</si>
  <si>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</si>
  <si>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</si>
  <si>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</si>
  <si>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</si>
  <si>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</si>
  <si>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</si>
  <si>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</si>
  <si>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</si>
  <si>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</si>
  <si>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</si>
  <si>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</si>
  <si>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</si>
  <si>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</si>
  <si>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</si>
  <si>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</si>
  <si>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</si>
  <si>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</si>
  <si>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</si>
  <si>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</si>
  <si>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</si>
  <si>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</si>
  <si>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</si>
  <si>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</si>
  <si>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</si>
  <si>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</si>
  <si>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</si>
  <si>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</si>
  <si>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</si>
  <si>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</si>
  <si>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</si>
  <si>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</si>
  <si>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</si>
  <si>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</si>
  <si>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</si>
  <si>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</si>
  <si>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</si>
  <si>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</si>
  <si>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</si>
  <si>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</si>
  <si>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</si>
  <si>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</si>
  <si>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</si>
  <si>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</si>
  <si>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</si>
  <si>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</si>
  <si>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</si>
  <si>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</si>
  <si>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</si>
  <si>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</si>
  <si>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</si>
  <si>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</si>
  <si>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</si>
  <si>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</si>
  <si>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</si>
  <si>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</si>
  <si>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</si>
  <si>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</si>
  <si>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</si>
  <si>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</si>
  <si>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</si>
  <si>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</si>
  <si>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</si>
  <si>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</si>
  <si>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</si>
  <si>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</si>
  <si>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</si>
  <si>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</si>
  <si>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</si>
  <si>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</si>
  <si>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</si>
  <si>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</si>
  <si>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</si>
  <si>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</si>
  <si>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</si>
  <si>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</si>
  <si>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</si>
  <si>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</si>
  <si>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</si>
  <si>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</si>
  <si>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</si>
  <si>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</si>
  <si>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</si>
  <si>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</si>
  <si>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</si>
  <si>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</si>
  <si>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</si>
  <si>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</si>
  <si>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</si>
  <si>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</si>
  <si>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</si>
  <si>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</si>
  <si>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</si>
  <si>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</si>
  <si>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</si>
  <si>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</si>
  <si>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</si>
  <si>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</si>
  <si>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</si>
  <si>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</si>
  <si>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</si>
  <si>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</si>
  <si>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</si>
  <si>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</si>
  <si>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</si>
  <si>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</si>
  <si>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</si>
  <si>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</si>
  <si>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</si>
  <si>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</si>
  <si>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</si>
  <si>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</si>
  <si>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</si>
  <si>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</si>
  <si>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</si>
  <si>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</si>
  <si>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</si>
  <si>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</si>
  <si>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</si>
  <si>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</si>
  <si>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</si>
  <si>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</si>
  <si>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</si>
  <si>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</si>
  <si>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</si>
  <si>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</si>
  <si>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</si>
  <si>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</si>
  <si>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</si>
  <si>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</si>
  <si>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</si>
  <si>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</si>
  <si>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</si>
  <si>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</si>
  <si>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</si>
  <si>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</si>
  <si>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</si>
  <si>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</si>
  <si>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</si>
  <si>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</si>
  <si>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</si>
  <si>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</si>
  <si>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</si>
  <si>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</si>
  <si>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</si>
  <si>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</si>
  <si>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</si>
  <si>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</si>
  <si>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</si>
  <si>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</si>
  <si>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</si>
  <si>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</si>
  <si>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</si>
  <si>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</si>
  <si>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</si>
  <si>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</si>
  <si>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</si>
  <si>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</si>
  <si>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</si>
  <si>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</si>
  <si>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</si>
  <si>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</si>
  <si>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</si>
  <si>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</si>
  <si>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</si>
  <si>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</si>
  <si>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</si>
  <si>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</si>
  <si>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</si>
  <si>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</si>
  <si>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</si>
  <si>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</si>
  <si>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</si>
  <si>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</si>
  <si>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</si>
  <si>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</si>
  <si>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</si>
  <si>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</si>
  <si>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</si>
  <si>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</si>
  <si>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</si>
  <si>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</si>
  <si>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</si>
  <si>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</si>
  <si>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</si>
  <si>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</si>
  <si>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</si>
  <si>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</si>
  <si>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</si>
  <si>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</si>
  <si>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</si>
  <si>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</si>
  <si>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</si>
  <si>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</si>
  <si>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</si>
  <si>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</si>
  <si>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</si>
  <si>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</si>
  <si>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</si>
  <si>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</si>
  <si>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</si>
  <si>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</si>
  <si>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</si>
  <si>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</si>
  <si>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</si>
  <si>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</si>
  <si>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</si>
  <si>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</si>
  <si>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</si>
  <si>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</si>
  <si>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</si>
  <si>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</si>
  <si>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</si>
  <si>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</si>
  <si>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</si>
  <si>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</si>
  <si>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</si>
  <si>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</si>
  <si>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</si>
  <si>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</si>
  <si>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</si>
  <si>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</si>
  <si>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</si>
  <si>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</si>
  <si>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</si>
  <si>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</si>
  <si>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</si>
  <si>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</si>
  <si>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</si>
  <si>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</si>
  <si>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</si>
  <si>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</si>
  <si>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</si>
  <si>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</si>
  <si>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</si>
  <si>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</si>
  <si>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</si>
  <si>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</si>
  <si>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</si>
  <si>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</si>
  <si>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</si>
  <si>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</si>
  <si>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</si>
  <si>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</si>
  <si>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</si>
  <si>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</si>
  <si>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</si>
  <si>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</si>
  <si>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</si>
  <si>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</si>
  <si>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</si>
  <si>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</si>
  <si>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</si>
  <si>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</si>
  <si>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</si>
  <si>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</si>
  <si>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</si>
  <si>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</si>
  <si>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</si>
  <si>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</si>
  <si>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</si>
  <si>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</si>
  <si>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</si>
  <si>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</si>
  <si>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</si>
  <si>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</si>
  <si>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</si>
  <si>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</si>
  <si>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</si>
  <si>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</si>
  <si>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</si>
  <si>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</si>
  <si>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</si>
  <si>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</si>
  <si>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</si>
  <si>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</si>
  <si>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</si>
  <si>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</si>
  <si>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</si>
  <si>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</si>
  <si>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</si>
  <si>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</si>
  <si>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</si>
  <si>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</si>
  <si>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</si>
  <si>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</si>
  <si>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</si>
  <si>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</si>
  <si>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</si>
  <si>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</si>
  <si>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</si>
  <si>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</si>
  <si>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</si>
  <si>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</si>
  <si>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</si>
  <si>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</si>
  <si>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</si>
  <si>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</si>
  <si>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</si>
  <si>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</si>
  <si>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</si>
  <si>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</si>
  <si>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</si>
  <si>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</si>
  <si>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</si>
  <si>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</si>
  <si>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</si>
  <si>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</si>
  <si>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</si>
  <si>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</si>
  <si>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</si>
  <si>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</si>
  <si>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</si>
  <si>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</si>
  <si>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</si>
  <si>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</si>
  <si>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</si>
  <si>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</si>
  <si>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</si>
  <si>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</si>
  <si>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</si>
  <si>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</si>
  <si>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</si>
  <si>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</si>
  <si>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</si>
  <si>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</si>
  <si>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</si>
  <si>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</si>
  <si>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</si>
  <si>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</si>
  <si>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</si>
  <si>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</si>
  <si>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</si>
  <si>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</si>
  <si>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</si>
  <si>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</si>
  <si>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</si>
  <si>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</si>
  <si>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</si>
  <si>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</si>
  <si>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</si>
  <si>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</si>
  <si>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</si>
  <si>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</si>
  <si>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</si>
  <si>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</si>
  <si>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</si>
  <si>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</si>
  <si>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</si>
  <si>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</si>
  <si>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</si>
  <si>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</si>
  <si>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</si>
  <si>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</si>
  <si>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</si>
  <si>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</si>
  <si>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</si>
  <si>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</si>
  <si>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</si>
  <si>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</si>
  <si>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</si>
  <si>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</si>
  <si>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</si>
  <si>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</si>
  <si>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</si>
  <si>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</si>
  <si>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</si>
  <si>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</si>
  <si>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</si>
  <si>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</si>
  <si>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</si>
  <si>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</si>
  <si>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</si>
  <si>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</si>
  <si>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</si>
  <si>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</si>
  <si>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</si>
  <si>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</si>
  <si>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</si>
  <si>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</si>
  <si>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</si>
  <si>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</si>
  <si>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</si>
  <si>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</si>
  <si>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</si>
  <si>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</si>
  <si>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</si>
  <si>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</si>
  <si>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</si>
  <si>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</si>
  <si>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</si>
  <si>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</si>
  <si>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</si>
  <si>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</si>
  <si>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</si>
  <si>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</si>
  <si>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</si>
  <si>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</si>
  <si>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</si>
  <si>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</si>
  <si>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</si>
  <si>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</si>
  <si>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</si>
  <si>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</si>
  <si>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</si>
  <si>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</si>
  <si>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</si>
  <si>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</si>
  <si>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</si>
  <si>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</si>
  <si>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</si>
  <si>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</si>
  <si>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</si>
  <si>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</si>
  <si>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</si>
  <si>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</si>
  <si>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</si>
  <si>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</si>
  <si>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</si>
  <si>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</si>
  <si>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</si>
  <si>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</si>
  <si>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</si>
  <si>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</si>
  <si>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</si>
  <si>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</si>
  <si>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</si>
  <si>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</si>
  <si>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</si>
  <si>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</si>
  <si>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</si>
  <si>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</si>
  <si>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</si>
  <si>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</si>
  <si>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</si>
  <si>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</si>
  <si>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</si>
  <si>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</si>
  <si>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</si>
  <si>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</si>
  <si>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</si>
  <si>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</si>
  <si>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</si>
  <si>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</si>
  <si>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</si>
  <si>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</si>
  <si>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</si>
  <si>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</si>
  <si>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</si>
  <si>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</si>
  <si>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</si>
  <si>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</si>
  <si>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</si>
  <si>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</si>
  <si>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</si>
  <si>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</si>
  <si>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</si>
  <si>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</si>
  <si>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</si>
  <si>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</si>
  <si>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</si>
  <si>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</si>
  <si>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</si>
  <si>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</si>
  <si>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</si>
  <si>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</si>
  <si>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</si>
  <si>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</si>
  <si>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</si>
  <si>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</si>
  <si>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</si>
  <si>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</si>
  <si>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</si>
  <si>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</si>
  <si>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</si>
  <si>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</si>
  <si>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</si>
  <si>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</si>
  <si>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</si>
  <si>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</si>
  <si>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</si>
  <si>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</si>
  <si>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</si>
  <si>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</si>
  <si>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</si>
  <si>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</si>
  <si>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</si>
  <si>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</si>
  <si>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</si>
  <si>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</si>
  <si>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</si>
  <si>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</si>
  <si>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</si>
  <si>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</si>
  <si>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</si>
  <si>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</si>
  <si>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</si>
  <si>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</si>
  <si>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</si>
  <si>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</si>
  <si>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</si>
  <si>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</si>
  <si>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</si>
  <si>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</si>
  <si>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</si>
  <si>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</si>
  <si>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</si>
  <si>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</si>
  <si>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</si>
  <si>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</si>
  <si>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</si>
  <si>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</si>
  <si>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</si>
  <si>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</si>
  <si>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</si>
  <si>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</si>
  <si>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</si>
  <si>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</si>
  <si>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</si>
  <si>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</si>
  <si>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</si>
  <si>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</si>
  <si>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</si>
  <si>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</si>
  <si>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</si>
  <si>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</si>
  <si>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</si>
  <si>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</si>
  <si>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</si>
  <si>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</si>
  <si>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</si>
  <si>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</si>
  <si>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</si>
  <si>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</si>
  <si>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</si>
  <si>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</si>
  <si>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</si>
  <si>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</si>
  <si>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</si>
  <si>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</si>
  <si>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</si>
  <si>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</si>
  <si>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</si>
  <si>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</si>
  <si>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</si>
  <si>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</si>
  <si>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</si>
  <si>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</si>
  <si>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</si>
  <si>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</si>
  <si>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</si>
  <si>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</si>
  <si>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</si>
  <si>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</si>
  <si>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</si>
  <si>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</si>
  <si>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</si>
  <si>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</si>
  <si>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</si>
  <si>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</si>
  <si>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</si>
  <si>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</si>
  <si>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</si>
  <si>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</si>
  <si>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</si>
  <si>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</si>
  <si>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</si>
  <si>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</si>
  <si>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</si>
  <si>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</si>
  <si>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</si>
  <si>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</si>
  <si>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</si>
  <si>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</si>
  <si>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</si>
  <si>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</si>
  <si>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</si>
  <si>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</si>
  <si>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</si>
  <si>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</si>
  <si>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</si>
  <si>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</si>
  <si>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</si>
  <si>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</si>
  <si>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</si>
  <si>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</si>
  <si>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</si>
  <si>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</si>
  <si>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</si>
  <si>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</si>
  <si>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</si>
  <si>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</si>
  <si>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</si>
  <si>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</si>
  <si>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</si>
  <si>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</si>
  <si>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</si>
  <si>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</si>
  <si>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</si>
  <si>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</si>
  <si>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</si>
  <si>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</si>
  <si>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</si>
  <si>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</si>
  <si>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</si>
  <si>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</si>
  <si>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</si>
  <si>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</si>
  <si>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</si>
  <si>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</si>
  <si>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</si>
  <si>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</si>
  <si>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</si>
  <si>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</si>
  <si>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</si>
  <si>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</si>
  <si>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</si>
  <si>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</si>
  <si>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</si>
  <si>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</si>
  <si>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</si>
  <si>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</si>
  <si>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</si>
  <si>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</si>
  <si>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</si>
  <si>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</si>
  <si>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</si>
  <si>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</si>
  <si>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</si>
  <si>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</si>
  <si>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</si>
  <si>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</si>
  <si>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</si>
  <si>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</si>
  <si>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</si>
  <si>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</si>
  <si>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</si>
  <si>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</si>
  <si>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</si>
  <si>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</si>
  <si>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</si>
  <si>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</si>
  <si>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</si>
  <si>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</si>
  <si>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</si>
  <si>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</si>
  <si>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</si>
  <si>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</si>
  <si>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</si>
  <si>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</si>
  <si>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</si>
  <si>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</si>
  <si>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</si>
  <si>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</si>
  <si>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</si>
  <si>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</si>
  <si>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</si>
  <si>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</si>
  <si>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</si>
  <si>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</si>
  <si>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</si>
  <si>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</si>
  <si>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</si>
  <si>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</si>
  <si>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</si>
  <si>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</si>
  <si>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</si>
  <si>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</si>
  <si>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</si>
  <si>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</si>
  <si>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</si>
  <si>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</si>
  <si>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</si>
  <si>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</si>
  <si>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</si>
  <si>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</si>
  <si>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</si>
  <si>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</si>
  <si>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</si>
  <si>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</si>
  <si>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</si>
  <si>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</si>
  <si>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</si>
  <si>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</si>
  <si>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</si>
  <si>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</si>
  <si>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</si>
  <si>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</si>
  <si>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</si>
  <si>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</si>
  <si>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</si>
  <si>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</si>
  <si>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</si>
  <si>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</si>
  <si>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</si>
  <si>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</si>
  <si>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</si>
  <si>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</si>
  <si>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</si>
  <si>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</si>
  <si>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</si>
  <si>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</si>
  <si>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</si>
  <si>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</si>
  <si>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</si>
  <si>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</si>
  <si>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</si>
  <si>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</si>
  <si>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</si>
  <si>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</si>
  <si>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</si>
  <si>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</si>
  <si>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</si>
  <si>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</si>
  <si>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</si>
  <si>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</si>
  <si>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</si>
  <si>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</si>
  <si>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</si>
  <si>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</si>
  <si>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</si>
  <si>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</si>
  <si>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</si>
  <si>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</si>
  <si>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</si>
  <si>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</si>
  <si>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</si>
  <si>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</si>
  <si>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</si>
  <si>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</si>
  <si>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</si>
  <si>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</si>
  <si>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</si>
  <si>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</si>
  <si>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</si>
  <si>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</si>
  <si>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</si>
  <si>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</si>
  <si>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</si>
  <si>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</si>
  <si>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</si>
  <si>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</si>
  <si>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</si>
  <si>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</si>
  <si>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</si>
  <si>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</si>
  <si>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</si>
  <si>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</si>
  <si>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</si>
  <si>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</si>
  <si>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</si>
  <si>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</si>
  <si>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</si>
  <si>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</si>
  <si>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</si>
  <si>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</si>
  <si>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</si>
  <si>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</si>
  <si>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</si>
  <si>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</si>
  <si>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</si>
  <si>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</si>
  <si>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</si>
  <si>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</si>
  <si>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</si>
  <si>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</si>
  <si>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</si>
  <si>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</si>
  <si>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</si>
  <si>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</si>
  <si>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</si>
  <si>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</si>
  <si>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</si>
  <si>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</si>
  <si>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</si>
  <si>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</si>
  <si>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</si>
  <si>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</si>
  <si>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</si>
  <si>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</si>
  <si>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</si>
  <si>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</si>
  <si>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</si>
  <si>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</si>
  <si>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</si>
  <si>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</si>
  <si>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</si>
  <si>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</si>
  <si>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</si>
  <si>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</si>
  <si>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</si>
  <si>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</si>
  <si>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</si>
  <si>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</si>
  <si>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</si>
  <si>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</si>
  <si>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</si>
  <si>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</si>
  <si>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</si>
  <si>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</si>
  <si>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</si>
  <si>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</si>
  <si>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</si>
  <si>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</si>
  <si>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</si>
  <si>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</si>
  <si>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</si>
  <si>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</si>
  <si>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</si>
  <si>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</si>
  <si>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</si>
  <si>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</si>
  <si>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</si>
  <si>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</si>
  <si>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</si>
  <si>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</si>
  <si>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</si>
  <si>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</si>
  <si>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</si>
  <si>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</si>
  <si>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</si>
  <si>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</si>
  <si>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</si>
  <si>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</si>
  <si>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</si>
  <si>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</si>
  <si>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</si>
  <si>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</si>
  <si>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</si>
  <si>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</si>
  <si>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</si>
  <si>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</si>
  <si>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</si>
  <si>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</si>
  <si>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</si>
  <si>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</si>
  <si>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</si>
  <si>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</si>
  <si>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</si>
  <si>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</si>
  <si>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</si>
  <si>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</si>
  <si>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</si>
  <si>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</si>
  <si>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</si>
  <si>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</si>
  <si>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</si>
  <si>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</si>
  <si>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</si>
  <si>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</si>
  <si>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</si>
  <si>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</si>
  <si>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</si>
  <si>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</si>
  <si>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</si>
  <si>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</si>
  <si>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</si>
  <si>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</si>
  <si>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</si>
  <si>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</si>
  <si>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</si>
  <si>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</si>
  <si>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</si>
  <si>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</si>
  <si>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</si>
  <si>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</si>
  <si>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</si>
  <si>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</si>
  <si>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</si>
  <si>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</si>
  <si>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</si>
  <si>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</si>
  <si>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</si>
  <si>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</si>
  <si>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</si>
  <si>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</si>
  <si>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</si>
  <si>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</si>
  <si>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</si>
  <si>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</si>
  <si>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</si>
  <si>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</si>
  <si>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</si>
  <si>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</si>
  <si>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</si>
  <si>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</si>
  <si>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</si>
  <si>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</si>
  <si>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</si>
  <si>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</si>
  <si>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</si>
  <si>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</si>
  <si>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</si>
  <si>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</si>
  <si>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</si>
  <si>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</si>
  <si>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</si>
  <si>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</si>
  <si>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</si>
  <si>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</si>
  <si>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</si>
  <si>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</si>
  <si>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</si>
  <si>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</si>
  <si>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</si>
  <si>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</si>
  <si>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</si>
  <si>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</si>
  <si>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</si>
  <si>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</si>
  <si>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</si>
  <si>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</si>
  <si>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</si>
  <si>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</si>
  <si>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</si>
  <si>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</si>
  <si>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</si>
  <si>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</si>
  <si>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</si>
  <si>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</si>
  <si>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</si>
  <si>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</si>
  <si>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</si>
  <si>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</si>
  <si>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</si>
  <si>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</si>
  <si>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</si>
  <si>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</si>
  <si>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</si>
  <si>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</si>
  <si>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</si>
  <si>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</si>
  <si>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</si>
  <si>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</si>
  <si>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</si>
  <si>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</si>
  <si>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</si>
  <si>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</si>
  <si>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</si>
  <si>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</si>
  <si>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</si>
  <si>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</si>
  <si>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</si>
  <si>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</si>
  <si>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</si>
  <si>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</si>
  <si>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</si>
  <si>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</si>
  <si>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</si>
  <si>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</si>
  <si>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</si>
  <si>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</si>
  <si>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</si>
  <si>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</si>
  <si>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</si>
  <si>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</si>
  <si>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</si>
  <si>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</si>
  <si>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</si>
  <si>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</si>
  <si>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</si>
  <si>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</si>
  <si>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</si>
  <si>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</si>
  <si>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</si>
  <si>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</si>
  <si>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</si>
  <si>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</si>
  <si>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</si>
  <si>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</si>
  <si>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</si>
  <si>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</si>
  <si>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</si>
  <si>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</si>
  <si>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</si>
  <si>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</si>
  <si>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</si>
  <si>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</si>
  <si>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</si>
  <si>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</si>
  <si>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</si>
  <si>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</si>
  <si>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</si>
  <si>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</si>
  <si>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</si>
  <si>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</si>
  <si>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</si>
  <si>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</si>
  <si>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</si>
  <si>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</si>
  <si>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</si>
  <si>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</si>
  <si>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</si>
  <si>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</si>
  <si>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</si>
  <si>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</si>
  <si>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</si>
  <si>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</si>
  <si>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</si>
  <si>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</si>
  <si>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</si>
  <si>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</si>
  <si>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</si>
  <si>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</si>
  <si>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</si>
  <si>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</si>
  <si>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</si>
  <si>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</si>
  <si>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</si>
  <si>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</si>
  <si>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</si>
  <si>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</si>
  <si>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</si>
  <si>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</si>
  <si>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</si>
  <si>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</si>
  <si>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</si>
  <si>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</si>
  <si>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</si>
  <si>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</si>
  <si>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</si>
  <si>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</si>
  <si>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</si>
  <si>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</si>
  <si>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</si>
  <si>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</si>
  <si>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</si>
  <si>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</si>
  <si>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</si>
  <si>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</si>
  <si>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</si>
  <si>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</si>
  <si>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</si>
  <si>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</si>
  <si>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</si>
  <si>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</si>
  <si>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</si>
  <si>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</si>
  <si>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</si>
  <si>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</si>
  <si>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</si>
  <si>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</si>
  <si>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</si>
  <si>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</si>
  <si>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</si>
  <si>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</si>
  <si>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</si>
  <si>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</si>
  <si>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</si>
  <si>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</si>
  <si>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</si>
  <si>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</si>
  <si>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</si>
  <si>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</si>
  <si>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</si>
  <si>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</si>
  <si>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</si>
  <si>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</si>
  <si>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</si>
  <si>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</si>
  <si>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</si>
  <si>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</si>
  <si>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</si>
  <si>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</si>
  <si>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</si>
  <si>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</si>
  <si>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</si>
  <si>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</si>
  <si>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</si>
  <si>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</si>
  <si>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</si>
  <si>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</si>
  <si>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</si>
  <si>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</si>
  <si>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</si>
  <si>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</si>
  <si>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</si>
  <si>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</si>
  <si>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</si>
  <si>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</si>
  <si>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</si>
  <si>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</si>
  <si>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</si>
  <si>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</si>
  <si>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</si>
  <si>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</si>
  <si>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</si>
  <si>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</si>
  <si>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</si>
  <si>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</si>
  <si>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</si>
  <si>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</si>
  <si>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</si>
  <si>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</si>
  <si>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</si>
  <si>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</si>
  <si>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</si>
  <si>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</si>
  <si>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</si>
  <si>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</si>
  <si>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</si>
  <si>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</si>
  <si>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</si>
  <si>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</si>
  <si>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</si>
  <si>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</si>
  <si>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</si>
  <si>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</si>
  <si>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</si>
  <si>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</si>
  <si>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</si>
  <si>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</si>
  <si>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</si>
  <si>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</si>
  <si>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</si>
  <si>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</si>
  <si>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</si>
  <si>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</si>
  <si>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</si>
  <si>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</si>
  <si>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</si>
  <si>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</si>
  <si>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</si>
  <si>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</si>
  <si>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</si>
  <si>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</si>
  <si>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</si>
  <si>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</si>
  <si>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</si>
  <si>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</si>
  <si>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</si>
  <si>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</si>
  <si>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</si>
  <si>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</si>
  <si>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</si>
  <si>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</si>
  <si>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</si>
  <si>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</si>
  <si>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</si>
  <si>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</si>
  <si>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</si>
  <si>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</si>
  <si>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</si>
  <si>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</si>
  <si>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</si>
  <si>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</si>
  <si>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</si>
  <si>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</si>
  <si>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</si>
  <si>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</si>
  <si>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</si>
  <si>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</si>
  <si>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</si>
  <si>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</si>
  <si>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</si>
  <si>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</si>
  <si>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</si>
  <si>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</si>
  <si>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</si>
  <si>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</si>
  <si>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</si>
  <si>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</si>
  <si>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</si>
  <si>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</si>
  <si>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</si>
  <si>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</si>
  <si>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</si>
  <si>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</si>
  <si>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</si>
  <si>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</si>
  <si>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</si>
  <si>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</si>
  <si>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</si>
  <si>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</si>
  <si>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</si>
  <si>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</si>
  <si>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</si>
  <si>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</si>
  <si>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</si>
  <si>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</si>
  <si>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</si>
  <si>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</si>
  <si>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</si>
  <si>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</si>
  <si>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</si>
  <si>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</si>
  <si>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</si>
  <si>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</si>
  <si>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</si>
  <si>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</si>
  <si>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</si>
  <si>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</si>
  <si>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</si>
  <si>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</si>
  <si>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</si>
  <si>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</si>
  <si>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</si>
  <si>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</si>
  <si>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</si>
  <si>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</si>
  <si>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</si>
  <si>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</si>
  <si>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</si>
  <si>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</si>
  <si>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</si>
  <si>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</si>
  <si>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</si>
  <si>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</si>
  <si>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</si>
  <si>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</si>
  <si>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</si>
  <si>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</si>
  <si>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</si>
  <si>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</si>
  <si>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</si>
  <si>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</si>
  <si>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</si>
  <si>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</si>
  <si>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</si>
  <si>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</si>
  <si>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</si>
  <si>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</si>
  <si>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</si>
  <si>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</si>
  <si>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</si>
  <si>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</si>
  <si>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</si>
  <si>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</si>
  <si>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</si>
  <si>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</si>
  <si>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</si>
  <si>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</si>
  <si>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</si>
  <si>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</si>
  <si>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</si>
  <si>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</si>
  <si>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</si>
  <si>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</si>
  <si>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</si>
  <si>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</si>
  <si>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</si>
  <si>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</si>
  <si>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</si>
  <si>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</si>
  <si>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</si>
  <si>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</si>
  <si>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</si>
  <si>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</si>
  <si>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</si>
  <si>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</si>
  <si>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</si>
  <si>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</si>
  <si>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</si>
  <si>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</si>
  <si>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</si>
  <si>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</si>
  <si>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</si>
  <si>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</si>
  <si>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</si>
  <si>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</si>
  <si>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</si>
  <si>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</si>
  <si>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</si>
  <si>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</si>
  <si>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</si>
  <si>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</si>
  <si>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</si>
  <si>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</si>
  <si>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</si>
  <si>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</si>
  <si>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</si>
  <si>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</si>
  <si>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</si>
  <si>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</si>
  <si>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</si>
  <si>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</si>
  <si>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</si>
  <si>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</si>
  <si>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</si>
  <si>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</si>
  <si>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</si>
  <si>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</si>
  <si>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</si>
  <si>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</si>
  <si>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</si>
  <si>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</si>
  <si>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</si>
  <si>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</si>
  <si>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</si>
  <si>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</si>
  <si>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</si>
  <si>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</si>
  <si>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</si>
  <si>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</si>
  <si>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</si>
  <si>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</si>
  <si>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</si>
  <si>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</si>
  <si>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</si>
  <si>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</si>
  <si>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</si>
  <si>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</si>
  <si>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</si>
  <si>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</si>
  <si>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</si>
  <si>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</si>
  <si>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</si>
  <si>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</si>
  <si>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</si>
  <si>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</si>
  <si>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</si>
  <si>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</si>
  <si>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</si>
  <si>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</si>
  <si>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</si>
  <si>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</si>
  <si>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</si>
  <si>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</si>
  <si>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</si>
  <si>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</si>
  <si>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</si>
  <si>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</si>
  <si>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</si>
  <si>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</si>
  <si>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</si>
  <si>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</si>
  <si>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</si>
  <si>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</si>
  <si>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</si>
  <si>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</si>
  <si>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</si>
  <si>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</si>
  <si>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</si>
  <si>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</si>
  <si>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</si>
  <si>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</si>
  <si>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</si>
  <si>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</si>
  <si>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</si>
  <si>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</si>
  <si>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</si>
  <si>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</si>
  <si>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</si>
  <si>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</si>
  <si>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</si>
  <si>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</si>
  <si>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</si>
  <si>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</si>
  <si>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</si>
  <si>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</si>
  <si>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</si>
  <si>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</si>
  <si>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</si>
  <si>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</si>
  <si>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</si>
  <si>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</si>
  <si>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</si>
  <si>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</si>
  <si>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</si>
  <si>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</si>
  <si>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</si>
  <si>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</si>
  <si>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</si>
  <si>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</si>
  <si>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</si>
  <si>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</si>
  <si>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</si>
  <si>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</si>
  <si>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</si>
  <si>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</si>
  <si>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</si>
  <si>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</si>
  <si>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</si>
  <si>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</si>
  <si>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</si>
  <si>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</si>
  <si>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</si>
  <si>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</si>
  <si>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</si>
  <si>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</si>
  <si>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</si>
  <si>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</si>
  <si>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</si>
  <si>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</si>
  <si>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</si>
  <si>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</si>
  <si>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</si>
  <si>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</si>
  <si>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</si>
  <si>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</si>
  <si>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</si>
  <si>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</si>
  <si>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</si>
  <si>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</si>
  <si>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</si>
  <si>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</si>
  <si>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</si>
  <si>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</si>
  <si>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</si>
  <si>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</si>
  <si>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</si>
  <si>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</si>
  <si>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</si>
  <si>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</si>
  <si>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</si>
  <si>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</si>
  <si>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</si>
  <si>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</si>
  <si>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</si>
  <si>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</si>
  <si>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</si>
  <si>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</si>
  <si>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</si>
  <si>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</si>
  <si>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</si>
  <si>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</si>
  <si>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</si>
  <si>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</si>
  <si>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</si>
  <si>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</si>
  <si>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</si>
  <si>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</si>
  <si>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</si>
  <si>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</si>
  <si>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</si>
  <si>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</si>
  <si>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</si>
  <si>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</si>
  <si>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</si>
  <si>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</si>
  <si>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</si>
  <si>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</si>
  <si>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</si>
  <si>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</si>
  <si>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</si>
  <si>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</si>
  <si>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</si>
  <si>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</si>
  <si>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</si>
  <si>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</si>
  <si>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</si>
  <si>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</si>
  <si>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</si>
  <si>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</si>
  <si>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</si>
  <si>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</si>
  <si>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</si>
  <si>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</si>
  <si>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</si>
  <si>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</si>
  <si>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</si>
  <si>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</si>
  <si>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</si>
  <si>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</si>
  <si>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</si>
  <si>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</si>
  <si>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</si>
  <si>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</si>
  <si>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</si>
  <si>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</si>
  <si>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</si>
  <si>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</si>
  <si>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</si>
  <si>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</si>
  <si>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</si>
  <si>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</si>
  <si>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</si>
  <si>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</si>
  <si>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</si>
  <si>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</si>
  <si>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</si>
  <si>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</si>
  <si>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</si>
  <si>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</si>
  <si>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</si>
  <si>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</si>
  <si>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</si>
  <si>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</si>
  <si>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</si>
  <si>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</si>
  <si>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</si>
  <si>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</si>
  <si>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</si>
  <si>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</si>
  <si>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</si>
  <si>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</si>
  <si>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</si>
  <si>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</si>
  <si>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</si>
  <si>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</si>
  <si>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</si>
  <si>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</si>
  <si>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</si>
  <si>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</si>
  <si>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</si>
  <si>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</si>
  <si>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</si>
  <si>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</si>
  <si>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</si>
  <si>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</si>
  <si>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</si>
  <si>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</si>
  <si>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</si>
  <si>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</si>
  <si>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</si>
  <si>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</si>
  <si>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</si>
  <si>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</si>
  <si>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</si>
  <si>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</si>
  <si>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</si>
  <si>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</si>
  <si>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</si>
  <si>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</si>
  <si>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</si>
  <si>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</si>
  <si>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</si>
  <si>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</si>
  <si>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</si>
  <si>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</si>
  <si>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</si>
  <si>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</si>
  <si>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</si>
  <si>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</si>
  <si>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</si>
  <si>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</si>
  <si>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</si>
  <si>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</si>
  <si>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</si>
  <si>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</si>
  <si>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</si>
  <si>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</si>
  <si>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</si>
  <si>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</si>
  <si>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</si>
  <si>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</si>
  <si>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</si>
  <si>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</si>
  <si>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</si>
  <si>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</si>
  <si>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</si>
  <si>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</si>
  <si>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</si>
  <si>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</si>
  <si>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</si>
  <si>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</si>
  <si>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</si>
  <si>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</si>
  <si>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</si>
  <si>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</si>
  <si>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</si>
  <si>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</si>
  <si>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</si>
  <si>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</si>
  <si>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</si>
  <si>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</si>
  <si>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</si>
  <si>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</si>
  <si>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</si>
  <si>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</si>
  <si>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</si>
  <si>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</si>
  <si>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</si>
  <si>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</si>
  <si>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</si>
  <si>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</si>
  <si>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</si>
  <si>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</si>
  <si>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</si>
  <si>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</si>
  <si>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</si>
  <si>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</si>
  <si>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</si>
  <si>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</si>
  <si>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</si>
  <si>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</si>
  <si>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</si>
  <si>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</si>
  <si>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</si>
  <si>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</si>
  <si>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</si>
  <si>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</si>
  <si>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</si>
  <si>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</si>
  <si>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</si>
  <si>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</si>
  <si>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</si>
  <si>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</si>
  <si>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</si>
  <si>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</si>
  <si>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</si>
  <si>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</si>
  <si>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</si>
  <si>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</si>
  <si>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</si>
  <si>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</si>
  <si>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</si>
  <si>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</si>
  <si>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</si>
  <si>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</si>
  <si>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</si>
  <si>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</si>
  <si>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</si>
  <si>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</si>
  <si>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</si>
  <si>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</si>
  <si>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</si>
  <si>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</si>
  <si>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</si>
  <si>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</si>
  <si>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</si>
  <si>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</si>
  <si>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</si>
  <si>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</si>
  <si>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</si>
  <si>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</si>
  <si>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</si>
  <si>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</si>
  <si>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</si>
  <si>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</si>
  <si>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</si>
  <si>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</si>
  <si>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</si>
  <si>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</si>
  <si>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</si>
  <si>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</si>
  <si>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</si>
  <si>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</si>
  <si>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</si>
  <si>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</si>
  <si>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</si>
  <si>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</si>
  <si>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</si>
  <si>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</si>
  <si>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</si>
  <si>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</si>
  <si>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</si>
  <si>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</si>
  <si>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</si>
  <si>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</si>
  <si>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</si>
  <si>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</si>
  <si>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</si>
  <si>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</si>
  <si>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</si>
  <si>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</si>
  <si>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</si>
  <si>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</si>
  <si>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</si>
  <si>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</si>
  <si>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</si>
  <si>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</si>
  <si>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</si>
  <si>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</si>
  <si>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</si>
  <si>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</si>
  <si>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</si>
  <si>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</si>
  <si>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</si>
  <si>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</si>
  <si>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</si>
  <si>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</si>
  <si>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</si>
  <si>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</si>
  <si>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</si>
  <si>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</si>
  <si>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</si>
  <si>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</si>
  <si>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</si>
  <si>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</si>
  <si>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</si>
  <si>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</si>
  <si>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</si>
  <si>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</si>
  <si>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</si>
  <si>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</si>
  <si>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</si>
  <si>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</si>
  <si>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</si>
  <si>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</si>
  <si>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</si>
  <si>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</si>
  <si>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</si>
  <si>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</si>
  <si>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</si>
  <si>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</si>
  <si>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</si>
  <si>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</si>
  <si>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</si>
  <si>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</si>
  <si>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</si>
  <si>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</si>
  <si>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</si>
  <si>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</si>
  <si>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</si>
  <si>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</si>
  <si>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</si>
  <si>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</si>
  <si>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</si>
  <si>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</si>
  <si>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</si>
  <si>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</si>
  <si>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</si>
  <si>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</si>
  <si>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</si>
  <si>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</si>
  <si>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</si>
  <si>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</si>
  <si>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</si>
  <si>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</si>
  <si>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</si>
  <si>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</si>
  <si>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</si>
  <si>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</si>
  <si>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</si>
  <si>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</si>
  <si>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</si>
  <si>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</si>
  <si>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</si>
  <si>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</si>
  <si>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</si>
  <si>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</si>
  <si>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</si>
  <si>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</si>
  <si>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</si>
  <si>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</si>
  <si>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</si>
  <si>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</si>
  <si>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</si>
  <si>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</si>
  <si>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</si>
  <si>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</si>
  <si>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</si>
  <si>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</si>
  <si>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</si>
  <si>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</si>
  <si>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</si>
  <si>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</si>
  <si>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</si>
  <si>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</si>
  <si>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</si>
  <si>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</si>
  <si>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</si>
  <si>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</si>
  <si>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</si>
  <si>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</si>
  <si>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</si>
  <si>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</si>
  <si>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</si>
  <si>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</si>
  <si>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</si>
  <si>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</si>
  <si>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</si>
  <si>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</si>
  <si>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</si>
  <si>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</si>
  <si>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</si>
  <si>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</si>
  <si>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</si>
  <si>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</si>
  <si>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</si>
  <si>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</si>
  <si>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</si>
  <si>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</si>
  <si>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</si>
  <si>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</si>
  <si>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</si>
  <si>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</si>
  <si>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</si>
  <si>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</si>
  <si>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</si>
  <si>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</si>
  <si>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</si>
  <si>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</si>
  <si>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</si>
  <si>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</si>
  <si>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</si>
  <si>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</si>
  <si>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</si>
  <si>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</si>
  <si>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</si>
  <si>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</si>
  <si>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</si>
  <si>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</si>
  <si>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</si>
  <si>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</si>
  <si>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</si>
  <si>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</si>
  <si>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</si>
  <si>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</si>
  <si>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</si>
  <si>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</si>
  <si>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</si>
  <si>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</si>
  <si>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</si>
  <si>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</si>
  <si>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</si>
  <si>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</si>
  <si>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</si>
  <si>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</si>
  <si>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</si>
  <si>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</si>
  <si>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</si>
  <si>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</si>
  <si>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</si>
  <si>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</si>
  <si>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</si>
  <si>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</si>
  <si>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</si>
  <si>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</si>
  <si>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</si>
  <si>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</si>
  <si>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</si>
  <si>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</si>
  <si>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</si>
  <si>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</si>
  <si>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</si>
  <si>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</si>
  <si>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</si>
  <si>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</si>
  <si>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</si>
  <si>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</si>
  <si>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</si>
  <si>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</si>
  <si>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</si>
  <si>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</si>
  <si>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</si>
  <si>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</si>
  <si>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</si>
  <si>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</si>
  <si>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</si>
  <si>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</si>
  <si>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</si>
  <si>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</si>
  <si>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</si>
  <si>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</si>
  <si>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</si>
  <si>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</si>
  <si>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</si>
  <si>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</si>
  <si>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</si>
  <si>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</si>
  <si>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</si>
  <si>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</si>
  <si>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</si>
  <si>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</si>
  <si>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</si>
  <si>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</si>
  <si>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</si>
  <si>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</si>
  <si>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</si>
  <si>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</si>
  <si>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</si>
  <si>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</si>
  <si>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</si>
  <si>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</si>
  <si>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</si>
  <si>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</si>
  <si>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</si>
  <si>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</si>
  <si>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</si>
  <si>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</si>
  <si>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</si>
  <si>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</si>
  <si>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</si>
  <si>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</si>
  <si>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</si>
  <si>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</si>
  <si>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</si>
  <si>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</si>
  <si>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</si>
  <si>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</si>
  <si>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</si>
  <si>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</si>
  <si>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</si>
  <si>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</si>
  <si>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</si>
  <si>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</si>
  <si>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</si>
  <si>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</si>
  <si>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</si>
  <si>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</si>
  <si>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</si>
  <si>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</si>
  <si>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</si>
  <si>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</si>
  <si>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</si>
  <si>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</si>
  <si>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</si>
  <si>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</si>
  <si>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</si>
  <si>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</si>
  <si>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</si>
  <si>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</si>
  <si>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</si>
  <si>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</si>
  <si>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</si>
  <si>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</si>
  <si>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</si>
  <si>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</si>
  <si>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</si>
  <si>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</si>
  <si>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</si>
  <si>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</si>
  <si>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</si>
  <si>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</si>
  <si>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</si>
  <si>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</si>
  <si>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</si>
  <si>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</si>
  <si>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</si>
  <si>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</si>
  <si>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</si>
  <si>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</si>
  <si>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</si>
  <si>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</si>
  <si>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</si>
  <si>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</si>
  <si>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</si>
  <si>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</si>
  <si>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</si>
  <si>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</si>
  <si>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</si>
  <si>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</si>
  <si>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</si>
  <si>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</si>
  <si>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</si>
  <si>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</si>
  <si>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</si>
  <si>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</si>
  <si>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</si>
  <si>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</si>
  <si>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</si>
  <si>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</si>
  <si>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</si>
  <si>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</si>
  <si>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</si>
  <si>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</si>
  <si>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</si>
  <si>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</si>
  <si>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</si>
  <si>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</si>
  <si>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</si>
  <si>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</si>
  <si>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</si>
  <si>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</si>
  <si>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</si>
  <si>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</si>
  <si>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</si>
  <si>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</si>
  <si>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</si>
  <si>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</si>
  <si>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</si>
  <si>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</si>
  <si>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</si>
  <si>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</si>
  <si>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</si>
  <si>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</si>
  <si>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</si>
  <si>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</si>
  <si>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</si>
  <si>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</si>
  <si>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</si>
  <si>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</si>
  <si>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</si>
  <si>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</si>
  <si>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</si>
  <si>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</si>
  <si>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</si>
  <si>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</si>
  <si>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</si>
  <si>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</si>
  <si>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</si>
  <si>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</si>
  <si>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</si>
  <si>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</si>
  <si>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</si>
  <si>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</si>
  <si>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</si>
  <si>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</si>
  <si>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</si>
  <si>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</si>
  <si>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</si>
  <si>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</si>
  <si>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</si>
  <si>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</si>
  <si>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</si>
  <si>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</si>
  <si>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</si>
  <si>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</si>
  <si>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</si>
  <si>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</si>
  <si>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</si>
  <si>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</si>
  <si>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</si>
  <si>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</si>
  <si>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</si>
  <si>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</si>
  <si>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</si>
  <si>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</si>
  <si>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</si>
  <si>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</si>
  <si>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</si>
  <si>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</si>
  <si>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</si>
  <si>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</si>
  <si>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</si>
  <si>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</si>
  <si>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</si>
  <si>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</si>
  <si>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</si>
  <si>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</si>
  <si>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</si>
  <si>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</si>
  <si>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</si>
  <si>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</si>
  <si>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</si>
  <si>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</si>
  <si>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</si>
  <si>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</si>
  <si>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</si>
  <si>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</si>
  <si>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</si>
  <si>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</si>
  <si>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</si>
  <si>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</si>
  <si>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</si>
  <si>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</si>
  <si>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</si>
  <si>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</si>
  <si>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</si>
  <si>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</si>
  <si>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</si>
  <si>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</si>
  <si>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</si>
  <si>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</si>
  <si>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</si>
  <si>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</si>
  <si>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</si>
  <si>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</si>
  <si>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</si>
  <si>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</si>
  <si>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</si>
  <si>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</si>
  <si>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</si>
  <si>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</si>
  <si>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</si>
  <si>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</si>
  <si>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</si>
  <si>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</si>
  <si>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</si>
  <si>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</si>
  <si>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</si>
  <si>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</si>
  <si>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</si>
  <si>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</si>
  <si>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</si>
  <si>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</si>
  <si>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</si>
  <si>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</si>
  <si>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</si>
  <si>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</si>
  <si>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</si>
  <si>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</si>
  <si>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</si>
  <si>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</si>
  <si>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</si>
  <si>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</si>
  <si>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</si>
  <si>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</si>
  <si>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</si>
  <si>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</si>
  <si>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</si>
  <si>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</si>
  <si>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</si>
  <si>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</si>
  <si>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</si>
  <si>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</si>
  <si>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</si>
  <si>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</si>
  <si>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</si>
  <si>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</si>
  <si>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</si>
  <si>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</si>
  <si>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</si>
  <si>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</si>
  <si>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</si>
  <si>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</si>
  <si>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</si>
  <si>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</si>
  <si>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</si>
  <si>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</si>
  <si>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</si>
  <si>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</si>
  <si>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</si>
  <si>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</si>
  <si>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</si>
  <si>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</si>
  <si>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</si>
  <si>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</si>
  <si>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</si>
  <si>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</si>
  <si>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</si>
  <si>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</si>
  <si>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</si>
  <si>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</si>
  <si>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</si>
  <si>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</si>
  <si>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</si>
  <si>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</si>
  <si>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</si>
  <si>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</si>
  <si>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</si>
  <si>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</si>
  <si>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</si>
  <si>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</si>
  <si>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</si>
  <si>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</si>
  <si>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</si>
  <si>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</si>
  <si>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</si>
  <si>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</si>
  <si>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</si>
  <si>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</si>
  <si>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</si>
  <si>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</si>
  <si>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</si>
  <si>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</si>
  <si>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</si>
  <si>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</si>
  <si>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</si>
  <si>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</si>
  <si>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</si>
  <si>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</si>
  <si>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</si>
  <si>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</si>
  <si>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</si>
  <si>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</si>
  <si>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</si>
  <si>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</si>
  <si>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</si>
  <si>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</si>
  <si>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</si>
  <si>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</si>
  <si>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</si>
  <si>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</si>
  <si>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</si>
  <si>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</si>
  <si>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</si>
  <si>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</si>
  <si>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</si>
  <si>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</si>
  <si>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</si>
  <si>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</si>
  <si>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</si>
  <si>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</si>
  <si>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</si>
  <si>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</si>
  <si>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</si>
  <si>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</si>
  <si>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</si>
  <si>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</si>
  <si>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</si>
  <si>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</si>
  <si>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</si>
  <si>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</si>
  <si>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</si>
  <si>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</si>
  <si>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</si>
  <si>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</si>
  <si>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</si>
  <si>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</si>
  <si>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</si>
  <si>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</si>
  <si>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</si>
  <si>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</si>
  <si>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</si>
  <si>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</si>
  <si>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</si>
  <si>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</si>
  <si>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</si>
  <si>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</si>
  <si>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</si>
  <si>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</si>
  <si>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</si>
  <si>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</si>
  <si>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</si>
  <si>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</si>
  <si>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</si>
  <si>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</si>
  <si>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</si>
  <si>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</si>
  <si>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</si>
  <si>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</si>
  <si>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</si>
  <si>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</si>
  <si>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</si>
  <si>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</si>
  <si>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</si>
  <si>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</si>
  <si>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</si>
  <si>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</si>
  <si>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</si>
  <si>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</si>
  <si>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</si>
  <si>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</si>
  <si>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</si>
  <si>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</si>
  <si>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</si>
  <si>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</si>
  <si>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</si>
  <si>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</si>
  <si>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</si>
  <si>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</si>
  <si>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</si>
  <si>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</si>
  <si>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</si>
  <si>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</si>
  <si>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</si>
  <si>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</si>
  <si>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</si>
  <si>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</si>
  <si>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</si>
  <si>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</si>
  <si>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</si>
  <si>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</si>
  <si>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</si>
  <si>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</si>
  <si>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</si>
  <si>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</si>
  <si>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</si>
  <si>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</si>
  <si>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</si>
  <si>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</si>
  <si>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</si>
  <si>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</si>
  <si>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</si>
  <si>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</si>
  <si>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</si>
  <si>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</si>
  <si>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</si>
  <si>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</si>
  <si>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</si>
  <si>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</si>
  <si>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</si>
  <si>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</si>
  <si>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</si>
  <si>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</si>
  <si>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</si>
  <si>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</si>
  <si>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</si>
  <si>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</si>
  <si>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</si>
  <si>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</si>
  <si>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</si>
  <si>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</si>
  <si>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</si>
  <si>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</si>
  <si>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</si>
  <si>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</si>
  <si>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</si>
  <si>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</si>
  <si>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</si>
  <si>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</si>
  <si>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</si>
  <si>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</si>
  <si>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</si>
  <si>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</si>
  <si>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</si>
  <si>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</si>
  <si>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</si>
  <si>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</si>
  <si>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</si>
  <si>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</si>
  <si>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</si>
  <si>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</si>
  <si>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</si>
  <si>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</si>
  <si>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</si>
  <si>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</si>
  <si>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</si>
  <si>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</si>
  <si>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</si>
  <si>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</si>
  <si>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</si>
  <si>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</si>
  <si>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</si>
  <si>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</si>
  <si>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</si>
  <si>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</si>
  <si>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</si>
  <si>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</si>
  <si>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</si>
  <si>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</si>
  <si>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</si>
  <si>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</si>
  <si>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</si>
  <si>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</si>
  <si>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</si>
  <si>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</si>
  <si>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</si>
  <si>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</si>
  <si>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</si>
  <si>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</si>
  <si>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</si>
  <si>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</si>
  <si>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</si>
  <si>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</si>
  <si>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</si>
  <si>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</si>
  <si>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</si>
  <si>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</si>
  <si>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</si>
  <si>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</si>
  <si>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</si>
  <si>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</si>
  <si>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</si>
  <si>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</si>
  <si>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</si>
  <si>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</si>
  <si>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</si>
  <si>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</si>
  <si>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</si>
  <si>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</si>
  <si>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</si>
  <si>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</si>
  <si>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</si>
  <si>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</si>
  <si>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</si>
  <si>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</si>
  <si>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</si>
  <si>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</si>
  <si>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</si>
  <si>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</si>
  <si>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</si>
  <si>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</si>
  <si>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</si>
  <si>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</si>
  <si>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</si>
  <si>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</si>
  <si>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</si>
  <si>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</si>
  <si>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</si>
  <si>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</si>
  <si>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</si>
  <si>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</si>
  <si>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</si>
  <si>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</si>
  <si>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</si>
  <si>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</si>
  <si>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</si>
  <si>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</si>
  <si>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</si>
  <si>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</si>
  <si>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</si>
  <si>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</si>
  <si>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</si>
  <si>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</si>
  <si>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</si>
  <si>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</si>
  <si>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</si>
  <si>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</si>
  <si>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</si>
  <si>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</si>
  <si>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</si>
  <si>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</si>
  <si>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</si>
  <si>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</si>
  <si>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</si>
  <si>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</si>
  <si>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</si>
  <si>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</si>
  <si>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</si>
  <si>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</si>
  <si>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</si>
  <si>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</si>
  <si>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</si>
  <si>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</si>
  <si>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</si>
  <si>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</si>
  <si>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</si>
  <si>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</si>
  <si>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</si>
  <si>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</si>
  <si>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</si>
  <si>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</si>
  <si>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</si>
  <si>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</si>
  <si>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</si>
  <si>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</si>
  <si>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</si>
  <si>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</si>
  <si>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</si>
  <si>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</si>
  <si>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</si>
  <si>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</si>
  <si>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</si>
  <si>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</si>
  <si>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</si>
  <si>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</si>
  <si>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</si>
  <si>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</si>
  <si>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</si>
  <si>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</si>
  <si>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</si>
  <si>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</si>
  <si>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</si>
  <si>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</si>
  <si>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</si>
  <si>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</si>
  <si>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</si>
  <si>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</si>
  <si>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</si>
  <si>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</si>
  <si>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</si>
  <si>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</si>
  <si>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</si>
  <si>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</si>
  <si>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</si>
  <si>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</si>
  <si>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</si>
  <si>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</si>
  <si>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</si>
  <si>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</si>
  <si>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</si>
  <si>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</si>
  <si>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</si>
  <si>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</si>
  <si>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</si>
  <si>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</si>
  <si>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</si>
  <si>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</si>
  <si>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</si>
  <si>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</si>
  <si>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</si>
  <si>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</si>
  <si>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</si>
  <si>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</si>
  <si>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</si>
  <si>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</si>
  <si>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</si>
  <si>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</si>
  <si>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</si>
  <si>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</si>
  <si>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</si>
  <si>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</si>
  <si>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</si>
  <si>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</si>
  <si>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</si>
  <si>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</si>
  <si>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</si>
  <si>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</si>
  <si>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</si>
  <si>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</si>
  <si>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</si>
  <si>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</si>
  <si>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</si>
  <si>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</si>
  <si>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</si>
  <si>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</si>
  <si>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</si>
  <si>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</si>
  <si>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</si>
  <si>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</si>
  <si>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</si>
  <si>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</si>
  <si>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</si>
  <si>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</si>
  <si>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</si>
  <si>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</si>
  <si>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</si>
  <si>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</si>
  <si>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</si>
  <si>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</si>
  <si>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</si>
  <si>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</si>
  <si>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</si>
  <si>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</si>
  <si>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</si>
  <si>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</si>
  <si>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</si>
  <si>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</si>
  <si>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</si>
  <si>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</si>
  <si>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</si>
  <si>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</si>
  <si>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</si>
  <si>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</si>
  <si>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</si>
  <si>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</si>
  <si>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</si>
  <si>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</si>
  <si>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</si>
  <si>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</si>
  <si>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</si>
  <si>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</si>
  <si>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</si>
  <si>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</si>
  <si>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</si>
  <si>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</si>
  <si>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</si>
  <si>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</si>
  <si>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</si>
  <si>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</si>
  <si>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</si>
  <si>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</si>
  <si>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</si>
  <si>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</si>
  <si>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</si>
  <si>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</si>
  <si>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</si>
  <si>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</si>
  <si>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</si>
  <si>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</si>
  <si>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</si>
  <si>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</si>
  <si>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</si>
  <si>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</si>
  <si>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</si>
  <si>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</si>
  <si>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</si>
  <si>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</si>
  <si>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</si>
  <si>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</si>
  <si>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</si>
  <si>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</si>
  <si>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</si>
  <si>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</si>
  <si>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</si>
  <si>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</si>
  <si>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</si>
  <si>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</si>
  <si>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</si>
  <si>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</si>
  <si>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</si>
  <si>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</si>
  <si>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</si>
  <si>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</si>
  <si>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</si>
  <si>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</si>
  <si>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</si>
  <si>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</si>
  <si>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</si>
  <si>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</si>
  <si>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</si>
  <si>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</si>
  <si>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</si>
  <si>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</si>
  <si>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</si>
  <si>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</si>
  <si>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</si>
  <si>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</si>
  <si>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</si>
  <si>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</si>
  <si>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</si>
  <si>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</si>
  <si>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</si>
  <si>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</si>
  <si>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</si>
  <si>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</si>
  <si>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</si>
  <si>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</si>
  <si>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</si>
  <si>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</si>
  <si>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</si>
  <si>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</si>
  <si>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</si>
  <si>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</si>
  <si>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</si>
  <si>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</si>
  <si>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</si>
  <si>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</si>
  <si>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</si>
  <si>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</si>
  <si>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</si>
  <si>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</si>
  <si>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</si>
  <si>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</si>
  <si>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</si>
  <si>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</si>
  <si>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</si>
  <si>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</si>
  <si>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</si>
  <si>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</si>
  <si>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</si>
  <si>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</si>
  <si>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</si>
  <si>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</si>
  <si>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</si>
  <si>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</si>
  <si>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</si>
  <si>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</si>
  <si>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</si>
  <si>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</si>
  <si>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</si>
  <si>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</si>
  <si>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</si>
  <si>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</si>
  <si>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</si>
  <si>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</si>
  <si>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</si>
  <si>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</si>
  <si>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</si>
  <si>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</si>
  <si>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</si>
  <si>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</si>
  <si>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</si>
  <si>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</si>
  <si>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</si>
  <si>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</si>
  <si>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</si>
  <si>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</si>
  <si>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</si>
  <si>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</si>
  <si>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</si>
  <si>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</si>
  <si>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</si>
  <si>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</si>
  <si>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</si>
  <si>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</si>
  <si>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</si>
  <si>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</si>
  <si>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</si>
  <si>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</si>
  <si>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</si>
  <si>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</si>
  <si>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</si>
  <si>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</si>
  <si>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</si>
  <si>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</si>
  <si>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</si>
  <si>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</si>
  <si>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</si>
  <si>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</si>
  <si>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</si>
  <si>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</si>
  <si>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</si>
  <si>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</si>
  <si>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</si>
  <si>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</si>
  <si>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</si>
  <si>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</si>
  <si>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</si>
  <si>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</si>
  <si>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</si>
  <si>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</si>
  <si>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</si>
  <si>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</si>
  <si>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</si>
  <si>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</si>
  <si>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</si>
  <si>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</si>
  <si>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</si>
  <si>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</si>
  <si>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</si>
  <si>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</si>
  <si>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</si>
  <si>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</si>
  <si>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</si>
  <si>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</si>
  <si>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</si>
  <si>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</si>
  <si>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</si>
  <si>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</si>
  <si>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</si>
  <si>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</si>
  <si>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</si>
  <si>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</si>
  <si>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</si>
  <si>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</si>
  <si>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</si>
  <si>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</si>
  <si>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</si>
  <si>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</si>
  <si>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</si>
  <si>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</si>
  <si>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</si>
  <si>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</si>
  <si>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</si>
  <si>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</si>
  <si>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</si>
  <si>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</si>
  <si>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</si>
  <si>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</si>
  <si>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</si>
  <si>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</si>
  <si>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</si>
  <si>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</si>
  <si>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</si>
  <si>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</si>
  <si>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</si>
  <si>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</si>
  <si>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</si>
  <si>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</si>
  <si>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</si>
  <si>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</si>
  <si>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</si>
  <si>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</si>
  <si>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</si>
  <si>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</si>
  <si>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</si>
  <si>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</si>
  <si>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</si>
  <si>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</si>
  <si>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</si>
  <si>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</si>
  <si>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</si>
  <si>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</si>
  <si>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</si>
  <si>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</si>
  <si>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</si>
  <si>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</si>
  <si>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</si>
  <si>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</si>
  <si>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</si>
  <si>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</si>
  <si>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</si>
  <si>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</si>
  <si>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</si>
  <si>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</si>
  <si>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</si>
  <si>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</si>
  <si>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</si>
  <si>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</si>
  <si>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</si>
  <si>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</si>
  <si>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</si>
  <si>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</si>
  <si>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</si>
  <si>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</si>
  <si>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</si>
  <si>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</si>
  <si>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</si>
  <si>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</si>
  <si>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</si>
  <si>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</si>
  <si>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</si>
  <si>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</si>
  <si>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</si>
  <si>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</si>
  <si>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</si>
  <si>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</si>
  <si>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</si>
  <si>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</si>
  <si>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</si>
  <si>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</si>
  <si>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</si>
  <si>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</si>
  <si>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</si>
  <si>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</si>
  <si>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</si>
  <si>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</si>
  <si>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</si>
  <si>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</si>
  <si>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</si>
  <si>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</si>
  <si>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</si>
  <si>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</si>
  <si>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</si>
  <si>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</si>
  <si>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</si>
  <si>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</si>
  <si>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</si>
  <si>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</si>
  <si>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</si>
  <si>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</si>
  <si>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</si>
  <si>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</si>
  <si>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</si>
  <si>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</si>
  <si>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</si>
  <si>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</si>
  <si>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</si>
  <si>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</si>
  <si>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</si>
  <si>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</si>
  <si>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</si>
  <si>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</si>
  <si>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</si>
  <si>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</si>
  <si>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</si>
  <si>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</si>
  <si>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</si>
  <si>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</si>
  <si>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</si>
  <si>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</si>
  <si>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</si>
  <si>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</si>
  <si>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</si>
  <si>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</si>
  <si>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</si>
  <si>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</si>
  <si>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</si>
  <si>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</si>
  <si>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</si>
  <si>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</si>
  <si>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</si>
  <si>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</si>
  <si>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</si>
  <si>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</si>
  <si>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</si>
  <si>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</si>
  <si>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</si>
  <si>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</si>
  <si>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</si>
  <si>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</si>
  <si>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</si>
  <si>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</si>
  <si>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</si>
  <si>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</si>
  <si>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</si>
  <si>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</si>
  <si>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</si>
  <si>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</si>
  <si>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</si>
  <si>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</si>
  <si>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</si>
  <si>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</si>
  <si>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</si>
  <si>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</si>
  <si>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</si>
  <si>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</si>
  <si>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</si>
  <si>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</si>
  <si>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</si>
  <si>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</si>
  <si>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</si>
  <si>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</si>
  <si>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</si>
  <si>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</si>
  <si>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</si>
  <si>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</si>
  <si>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</si>
  <si>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</si>
  <si>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</si>
  <si>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</si>
  <si>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</si>
  <si>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</si>
  <si>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</si>
  <si>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</si>
  <si>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</si>
  <si>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</si>
  <si>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</si>
  <si>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</si>
  <si>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</si>
  <si>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</si>
  <si>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</si>
  <si>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</si>
  <si>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</si>
  <si>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</si>
  <si>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</si>
  <si>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</si>
  <si>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</si>
  <si>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</si>
  <si>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</si>
  <si>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</si>
  <si>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</si>
  <si>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</si>
  <si>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</si>
  <si>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</si>
  <si>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</si>
  <si>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</si>
  <si>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</si>
  <si>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</si>
  <si>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</si>
  <si>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</si>
  <si>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</si>
  <si>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</si>
  <si>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</si>
  <si>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</si>
  <si>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</si>
  <si>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</si>
  <si>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</si>
  <si>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</si>
  <si>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</si>
  <si>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</si>
  <si>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</si>
  <si>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</si>
  <si>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</si>
  <si>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</si>
  <si>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</si>
  <si>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</si>
  <si>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</si>
  <si>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</si>
  <si>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</si>
  <si>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</si>
  <si>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</si>
  <si>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</si>
  <si>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</si>
  <si>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</si>
  <si>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</si>
  <si>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</si>
  <si>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</si>
  <si>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</si>
  <si>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</si>
  <si>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</si>
  <si>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</si>
  <si>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</si>
  <si>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</si>
  <si>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</si>
  <si>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</si>
  <si>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</si>
  <si>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</si>
  <si>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</si>
  <si>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</si>
  <si>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</si>
  <si>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</si>
  <si>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</si>
  <si>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</si>
  <si>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</si>
  <si>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</si>
  <si>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</si>
  <si>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</si>
  <si>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</si>
  <si>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</si>
  <si>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</si>
  <si>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</si>
  <si>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</si>
  <si>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</si>
  <si>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</si>
  <si>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</si>
  <si>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</si>
  <si>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</si>
  <si>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</si>
  <si>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</si>
  <si>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</si>
  <si>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</si>
  <si>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</si>
  <si>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</si>
  <si>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</si>
  <si>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</si>
  <si>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</si>
  <si>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</si>
  <si>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</si>
  <si>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</si>
  <si>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</si>
  <si>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</si>
  <si>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</si>
  <si>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</si>
  <si>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</si>
  <si>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</si>
  <si>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</si>
  <si>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</si>
  <si>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</si>
  <si>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</si>
  <si>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</si>
  <si>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</si>
  <si>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</si>
  <si>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</si>
  <si>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</si>
  <si>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</si>
  <si>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</si>
  <si>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</si>
  <si>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</si>
  <si>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</si>
  <si>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</si>
  <si>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</si>
  <si>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</si>
  <si>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</si>
  <si>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</si>
  <si>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</si>
  <si>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</si>
  <si>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</si>
  <si>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</si>
  <si>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</si>
  <si>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</si>
  <si>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</si>
  <si>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</si>
  <si>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</si>
  <si>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</si>
  <si>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</si>
  <si>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</si>
  <si>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</si>
  <si>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</si>
  <si>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</si>
  <si>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</si>
  <si>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</si>
  <si>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</si>
  <si>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</si>
  <si>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</si>
  <si>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</si>
  <si>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</si>
  <si>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</si>
  <si>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</si>
  <si>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</si>
  <si>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</si>
  <si>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</si>
  <si>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</si>
  <si>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</si>
  <si>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</si>
  <si>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</si>
  <si>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</si>
  <si>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</si>
  <si>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</si>
  <si>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</si>
  <si>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</si>
  <si>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</si>
  <si>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</si>
  <si>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</si>
  <si>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</si>
  <si>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</si>
  <si>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</si>
  <si>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</si>
  <si>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</si>
  <si>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</si>
  <si>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</si>
  <si>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</si>
  <si>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</si>
  <si>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</si>
  <si>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</si>
  <si>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</si>
  <si>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</si>
  <si>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</si>
  <si>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</si>
  <si>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</si>
  <si>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</si>
  <si>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</si>
  <si>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</si>
  <si>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</si>
  <si>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</si>
  <si>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</si>
  <si>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</si>
  <si>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</si>
  <si>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</si>
  <si>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</si>
  <si>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</si>
  <si>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</si>
  <si>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</si>
  <si>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</si>
  <si>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</si>
  <si>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</si>
  <si>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</si>
  <si>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</si>
  <si>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</si>
  <si>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</si>
  <si>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</si>
  <si>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</si>
  <si>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</si>
  <si>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</si>
  <si>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</si>
  <si>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</si>
  <si>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</si>
  <si>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</si>
  <si>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</si>
  <si>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</si>
  <si>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</si>
  <si>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</si>
  <si>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</si>
  <si>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</si>
  <si>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</si>
  <si>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</si>
  <si>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</si>
  <si>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</si>
  <si>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</si>
  <si>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</si>
  <si>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</si>
  <si>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</si>
  <si>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</si>
  <si>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</si>
  <si>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</si>
  <si>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</si>
  <si>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</si>
  <si>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</si>
  <si>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</si>
  <si>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</si>
  <si>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</si>
  <si>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</si>
  <si>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</si>
  <si>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</si>
  <si>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</si>
  <si>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</si>
  <si>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</si>
  <si>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</si>
  <si>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</si>
  <si>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</si>
  <si>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</si>
  <si>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</si>
  <si>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</si>
  <si>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</si>
  <si>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</si>
  <si>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</si>
  <si>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</si>
  <si>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</si>
  <si>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</si>
  <si>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</si>
  <si>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</si>
  <si>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</si>
  <si>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</si>
  <si>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</si>
  <si>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</si>
  <si>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</si>
  <si>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</si>
  <si>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</si>
  <si>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</si>
  <si>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</si>
  <si>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</si>
  <si>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</si>
  <si>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</si>
  <si>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</si>
  <si>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</si>
  <si>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</si>
  <si>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</si>
  <si>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</si>
  <si>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</si>
  <si>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</si>
  <si>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</si>
  <si>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</si>
  <si>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</si>
  <si>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</si>
  <si>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</si>
  <si>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</si>
  <si>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</si>
  <si>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</si>
  <si>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</si>
  <si>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</si>
  <si>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</si>
  <si>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</si>
  <si>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</si>
  <si>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</si>
  <si>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</si>
  <si>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</si>
  <si>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</si>
  <si>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</si>
  <si>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</si>
  <si>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</si>
  <si>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</si>
  <si>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</si>
  <si>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</si>
  <si>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</si>
  <si>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</si>
  <si>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</si>
  <si>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</si>
  <si>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</si>
  <si>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</si>
  <si>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</si>
  <si>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</si>
  <si>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</si>
  <si>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</si>
  <si>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</si>
  <si>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</si>
  <si>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</si>
  <si>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</si>
  <si>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</si>
  <si>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</si>
  <si>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</si>
  <si>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</si>
  <si>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</si>
  <si>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</si>
  <si>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</si>
  <si>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</si>
  <si>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</si>
  <si>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</si>
  <si>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</si>
  <si>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</si>
  <si>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</si>
  <si>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</si>
  <si>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</si>
  <si>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</si>
  <si>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</si>
  <si>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</si>
  <si>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</si>
  <si>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</si>
  <si>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</si>
  <si>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</si>
  <si>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</si>
  <si>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</si>
  <si>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</si>
  <si>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</si>
  <si>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</si>
  <si>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</si>
  <si>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</si>
  <si>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</si>
  <si>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</si>
  <si>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</si>
  <si>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</si>
  <si>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</si>
  <si>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</si>
  <si>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</si>
  <si>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</si>
  <si>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</si>
  <si>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</si>
  <si>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</si>
  <si>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</si>
  <si>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</si>
  <si>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</si>
  <si>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</si>
  <si>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</si>
  <si>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</si>
  <si>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</si>
  <si>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</si>
  <si>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</si>
  <si>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</si>
  <si>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</si>
  <si>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</si>
  <si>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</si>
  <si>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</si>
  <si>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</si>
  <si>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</si>
  <si>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</si>
  <si>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</si>
  <si>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</si>
  <si>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</si>
  <si>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</si>
  <si>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</si>
  <si>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</si>
  <si>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</si>
  <si>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</si>
  <si>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</si>
  <si>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</si>
  <si>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</si>
  <si>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</si>
  <si>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</si>
  <si>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</si>
  <si>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</si>
  <si>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</si>
  <si>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</si>
  <si>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</si>
  <si>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</si>
  <si>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</si>
  <si>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</si>
  <si>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</si>
  <si>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</si>
  <si>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</si>
  <si>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</si>
  <si>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</si>
  <si>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</si>
  <si>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</si>
  <si>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</si>
  <si>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</si>
  <si>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</si>
  <si>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</si>
  <si>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</si>
  <si>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</si>
  <si>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</si>
  <si>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</si>
  <si>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</si>
  <si>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</si>
  <si>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</si>
  <si>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</si>
  <si>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</si>
  <si>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</si>
  <si>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</si>
  <si>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</si>
  <si>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</si>
  <si>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</si>
  <si>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</si>
  <si>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</si>
  <si>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</si>
  <si>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</si>
  <si>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</si>
  <si>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</si>
  <si>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</si>
  <si>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</si>
  <si>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</si>
  <si>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</si>
  <si>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</si>
  <si>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</si>
  <si>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</si>
  <si>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</si>
  <si>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</si>
  <si>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</si>
  <si>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</si>
  <si>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</si>
  <si>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</si>
  <si>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</si>
  <si>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</si>
  <si>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</si>
  <si>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</si>
  <si>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</si>
  <si>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</si>
  <si>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</si>
  <si>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</si>
  <si>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</si>
  <si>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</si>
  <si>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</si>
  <si>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</si>
  <si>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</si>
  <si>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</si>
  <si>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</si>
  <si>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</si>
  <si>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</si>
  <si>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</si>
  <si>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</si>
  <si>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</si>
  <si>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</si>
  <si>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</si>
  <si>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</si>
  <si>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</si>
  <si>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</si>
  <si>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</si>
  <si>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</si>
  <si>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</si>
  <si>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</si>
  <si>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</si>
  <si>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</si>
  <si>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</si>
  <si>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</si>
  <si>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</si>
  <si>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</si>
  <si>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</si>
  <si>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</si>
  <si>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</si>
  <si>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</si>
  <si>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</si>
  <si>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</si>
  <si>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</si>
  <si>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</si>
  <si>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</si>
  <si>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</si>
  <si>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</si>
  <si>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</si>
  <si>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</si>
  <si>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</si>
  <si>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</si>
  <si>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</si>
  <si>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</si>
  <si>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</si>
  <si>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</si>
  <si>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</si>
  <si>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</si>
  <si>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</si>
  <si>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</si>
  <si>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</si>
  <si>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</si>
  <si>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</si>
  <si>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</si>
  <si>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</si>
  <si>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</si>
  <si>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</si>
  <si>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</si>
  <si>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</si>
  <si>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</si>
  <si>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</si>
  <si>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</si>
  <si>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</si>
  <si>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</si>
  <si>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</si>
  <si>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</si>
  <si>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</si>
  <si>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</si>
  <si>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</si>
  <si>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</si>
  <si>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</si>
  <si>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</si>
  <si>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</si>
  <si>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</si>
  <si>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</si>
  <si>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</si>
  <si>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</si>
  <si>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</si>
  <si>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</si>
  <si>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</si>
  <si>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</si>
  <si>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</si>
  <si>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</si>
  <si>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</si>
  <si>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</si>
  <si>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</si>
  <si>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</si>
  <si>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</si>
  <si>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</si>
  <si>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</si>
  <si>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</si>
  <si>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</si>
  <si>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</si>
  <si>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</si>
  <si>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</si>
  <si>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</si>
  <si>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</si>
  <si>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</si>
  <si>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</si>
  <si>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</si>
  <si>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</si>
  <si>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</si>
  <si>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</si>
  <si>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</si>
  <si>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</si>
  <si>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</si>
  <si>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</si>
  <si>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</si>
  <si>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</si>
  <si>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</si>
  <si>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</si>
  <si>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</si>
  <si>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</si>
  <si>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</si>
  <si>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</si>
  <si>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</si>
  <si>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</si>
  <si>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</si>
  <si>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</si>
  <si>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</si>
  <si>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</si>
  <si>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</si>
  <si>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</si>
  <si>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</si>
  <si>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</si>
  <si>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</si>
  <si>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</si>
  <si>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</si>
  <si>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</si>
  <si>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</si>
  <si>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</si>
  <si>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</si>
  <si>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</si>
  <si>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</si>
  <si>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</si>
  <si>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</si>
  <si>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</si>
  <si>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</si>
  <si>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</si>
  <si>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</si>
  <si>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</si>
  <si>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</si>
  <si>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</si>
  <si>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</si>
  <si>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</si>
  <si>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</si>
  <si>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</si>
  <si>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</si>
  <si>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</si>
  <si>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</si>
  <si>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</si>
  <si>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</si>
  <si>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</si>
  <si>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</si>
  <si>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</si>
  <si>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</si>
  <si>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</si>
  <si>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</si>
  <si>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</si>
  <si>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</si>
  <si>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</si>
  <si>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</si>
  <si>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</si>
  <si>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</si>
  <si>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</si>
  <si>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</si>
  <si>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</si>
  <si>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</si>
  <si>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</si>
  <si>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</si>
  <si>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</si>
  <si>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</si>
  <si>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</si>
  <si>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</si>
  <si>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</si>
  <si>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</si>
  <si>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</si>
  <si>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</si>
  <si>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</si>
  <si>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</si>
  <si>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</si>
  <si>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</si>
  <si>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</si>
  <si>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</si>
  <si>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</si>
  <si>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</si>
  <si>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</si>
  <si>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</si>
  <si>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</si>
  <si>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</si>
  <si>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</si>
  <si>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</si>
  <si>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</si>
  <si>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</si>
  <si>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</si>
  <si>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</si>
  <si>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</si>
  <si>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</si>
  <si>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</si>
  <si>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</si>
  <si>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</si>
  <si>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</si>
  <si>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</si>
  <si>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</si>
  <si>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</si>
  <si>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</si>
  <si>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</si>
  <si>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</si>
  <si>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</si>
  <si>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</si>
  <si>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</si>
  <si>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</si>
  <si>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</si>
  <si>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</si>
  <si>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</si>
  <si>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</si>
  <si>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</si>
  <si>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</si>
  <si>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</si>
  <si>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</si>
  <si>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</si>
  <si>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</si>
  <si>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</si>
  <si>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</si>
  <si>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</si>
  <si>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</si>
  <si>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</si>
  <si>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</si>
  <si>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</si>
  <si>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</si>
  <si>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</si>
  <si>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</si>
  <si>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</si>
  <si>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</si>
  <si>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</si>
  <si>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</si>
  <si>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</si>
  <si>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</si>
  <si>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</si>
  <si>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</si>
  <si>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</si>
  <si>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</si>
  <si>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</si>
  <si>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</si>
  <si>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</si>
  <si>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</si>
  <si>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</si>
  <si>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</si>
  <si>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</si>
  <si>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</si>
  <si>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</si>
  <si>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</si>
  <si>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</si>
  <si>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</si>
  <si>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</si>
  <si>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</si>
  <si>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</si>
  <si>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</si>
  <si>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</si>
  <si>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</si>
  <si>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</si>
  <si>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</si>
  <si>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</si>
  <si>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</si>
  <si>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</si>
  <si>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</si>
  <si>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</si>
  <si>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</si>
  <si>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</si>
  <si>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</si>
  <si>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</si>
  <si>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</si>
  <si>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</si>
  <si>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</si>
  <si>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</si>
  <si>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</si>
  <si>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</si>
  <si>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</si>
  <si>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</si>
  <si>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</si>
  <si>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</si>
  <si>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</si>
  <si>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</si>
  <si>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</si>
  <si>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</si>
  <si>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</si>
  <si>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</si>
  <si>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</si>
  <si>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</si>
  <si>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</si>
  <si>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</si>
  <si>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</si>
  <si>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</si>
  <si>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</si>
  <si>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</si>
  <si>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</si>
  <si>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</si>
  <si>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</si>
  <si>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</si>
  <si>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</si>
  <si>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</si>
  <si>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</si>
  <si>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</si>
  <si>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</si>
  <si>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</si>
  <si>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</si>
  <si>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</si>
  <si>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</si>
  <si>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</si>
  <si>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</si>
  <si>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</si>
  <si>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</si>
  <si>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</si>
  <si>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</si>
  <si>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</si>
  <si>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</si>
  <si>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</si>
  <si>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</si>
  <si>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</si>
  <si>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</si>
  <si>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</si>
  <si>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</si>
  <si>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</si>
  <si>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</si>
  <si>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</si>
  <si>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</si>
  <si>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</si>
  <si>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</si>
  <si>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</si>
  <si>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</si>
  <si>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</si>
  <si>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</si>
  <si>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</si>
  <si>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</si>
  <si>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</si>
  <si>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</si>
  <si>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</si>
  <si>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</si>
  <si>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</si>
  <si>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</si>
  <si>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</si>
  <si>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</si>
  <si>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</si>
  <si>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</si>
  <si>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</si>
  <si>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</si>
  <si>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</si>
  <si>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</si>
  <si>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</si>
  <si>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</si>
  <si>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</si>
  <si>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</si>
  <si>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</si>
  <si>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</si>
  <si>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</si>
  <si>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</si>
  <si>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</si>
  <si>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</si>
  <si>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</si>
  <si>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</si>
  <si>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</si>
  <si>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</si>
  <si>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</si>
  <si>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</si>
  <si>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</si>
  <si>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</si>
  <si>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</si>
  <si>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</si>
  <si>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</si>
  <si>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</si>
  <si>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</si>
  <si>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</si>
  <si>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</si>
  <si>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</si>
  <si>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</si>
  <si>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</si>
  <si>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</si>
  <si>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</si>
  <si>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</si>
  <si>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</si>
  <si>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</si>
  <si>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</si>
  <si>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</si>
  <si>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</si>
  <si>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</si>
  <si>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</si>
  <si>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</si>
  <si>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</si>
  <si>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</si>
  <si>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</si>
  <si>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</si>
  <si>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</si>
  <si>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</si>
  <si>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</si>
  <si>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</si>
  <si>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</si>
  <si>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</si>
  <si>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</si>
  <si>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</si>
  <si>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</si>
  <si>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</si>
  <si>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</si>
  <si>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</si>
  <si>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</si>
  <si>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</si>
  <si>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</si>
  <si>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</si>
  <si>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</si>
  <si>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</si>
  <si>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</si>
  <si>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</si>
  <si>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</si>
  <si>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</si>
  <si>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</si>
  <si>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</si>
  <si>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</si>
  <si>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</si>
  <si>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</si>
  <si>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</si>
  <si>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</si>
  <si>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</si>
  <si>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</si>
  <si>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</si>
  <si>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</si>
  <si>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</si>
  <si>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</si>
  <si>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</si>
  <si>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</si>
  <si>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</si>
  <si>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</si>
  <si>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</si>
  <si>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</si>
  <si>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</si>
  <si>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</si>
  <si>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</si>
  <si>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</si>
  <si>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</si>
  <si>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</si>
  <si>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</si>
  <si>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</si>
  <si>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</si>
  <si>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</si>
  <si>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</si>
  <si>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</si>
  <si>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</si>
  <si>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</si>
  <si>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</si>
  <si>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</si>
  <si>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</si>
  <si>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</si>
  <si>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</si>
  <si>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</si>
  <si>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</si>
  <si>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</si>
  <si>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</si>
  <si>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</si>
  <si>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</si>
  <si>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</si>
  <si>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</si>
  <si>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</si>
  <si>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</si>
  <si>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</si>
  <si>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</si>
  <si>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</si>
  <si>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</si>
  <si>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</si>
  <si>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</si>
  <si>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</si>
  <si>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</si>
  <si>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</si>
  <si>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</si>
  <si>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</si>
  <si>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</si>
  <si>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</si>
  <si>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</si>
  <si>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</si>
  <si>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</si>
  <si>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</si>
  <si>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</si>
  <si>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</si>
  <si>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</si>
  <si>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</si>
  <si>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</si>
  <si>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</si>
  <si>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</si>
  <si>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</si>
  <si>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</si>
  <si>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</si>
  <si>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</si>
  <si>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</si>
  <si>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</si>
  <si>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</si>
  <si>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</si>
  <si>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</si>
  <si>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</si>
  <si>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</si>
  <si>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</si>
  <si>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</si>
  <si>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</si>
  <si>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</si>
  <si>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</si>
  <si>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</si>
  <si>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</si>
  <si>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</si>
  <si>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</si>
  <si>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</si>
  <si>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</si>
  <si>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</si>
  <si>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</si>
  <si>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</si>
  <si>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</si>
  <si>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</si>
  <si>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</si>
  <si>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</si>
  <si>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</si>
  <si>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</si>
  <si>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</si>
  <si>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</si>
  <si>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</si>
  <si>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</si>
  <si>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</si>
  <si>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</si>
  <si>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</si>
  <si>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</si>
  <si>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</si>
  <si>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</si>
  <si>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</si>
  <si>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</si>
  <si>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</si>
  <si>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</si>
  <si>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</si>
  <si>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</si>
  <si>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</si>
  <si>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</si>
  <si>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</si>
  <si>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</si>
  <si>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</si>
  <si>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</si>
  <si>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</si>
  <si>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</si>
  <si>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</si>
  <si>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</si>
  <si>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</si>
  <si>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</si>
  <si>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</si>
  <si>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</si>
  <si>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</si>
  <si>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</si>
  <si>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</si>
  <si>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</si>
  <si>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</si>
  <si>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</si>
  <si>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</si>
  <si>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</si>
  <si>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</si>
  <si>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</si>
  <si>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</si>
  <si>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</si>
  <si>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</si>
  <si>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</si>
  <si>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</si>
  <si>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</si>
  <si>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</si>
  <si>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</si>
  <si>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</si>
  <si>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</si>
  <si>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</si>
  <si>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</si>
  <si>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</si>
  <si>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</si>
  <si>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</si>
  <si>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</si>
  <si>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</si>
  <si>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</si>
  <si>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</si>
  <si>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</si>
  <si>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</si>
  <si>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</si>
  <si>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</si>
  <si>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</si>
  <si>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</si>
  <si>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</si>
  <si>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</si>
  <si>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</si>
  <si>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</si>
  <si>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</si>
  <si>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</si>
  <si>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</si>
  <si>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</si>
  <si>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</si>
  <si>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</si>
  <si>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</si>
  <si>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</si>
  <si>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</si>
  <si>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</si>
  <si>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</si>
  <si>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</si>
  <si>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</si>
  <si>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</si>
  <si>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</si>
  <si>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</si>
  <si>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</si>
  <si>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</si>
  <si>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</si>
  <si>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</si>
  <si>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</si>
  <si>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</si>
  <si>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</si>
  <si>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</si>
  <si>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</si>
  <si>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</si>
  <si>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</si>
  <si>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</si>
  <si>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</si>
  <si>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</si>
  <si>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</si>
  <si>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</si>
  <si>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</si>
  <si>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</si>
  <si>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</si>
  <si>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</si>
  <si>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</si>
  <si>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</si>
  <si>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</si>
  <si>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</si>
  <si>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</si>
  <si>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</si>
  <si>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</si>
  <si>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</si>
  <si>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</si>
  <si>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</si>
  <si>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</si>
  <si>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</si>
  <si>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</si>
  <si>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</si>
  <si>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</si>
  <si>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</si>
  <si>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</si>
  <si>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</si>
  <si>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</si>
  <si>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</si>
  <si>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</si>
  <si>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</si>
  <si>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</si>
  <si>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</si>
  <si>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</si>
  <si>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</si>
  <si>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</si>
  <si>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</si>
  <si>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</si>
  <si>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</si>
  <si>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</si>
  <si>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</si>
  <si>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</si>
  <si>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</si>
  <si>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</si>
  <si>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</si>
  <si>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</si>
  <si>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</si>
  <si>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</si>
  <si>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</si>
  <si>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</si>
  <si>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</si>
  <si>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</si>
  <si>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</si>
  <si>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</si>
  <si>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</si>
  <si>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</si>
  <si>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</si>
  <si>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</si>
  <si>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</si>
  <si>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</si>
  <si>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</si>
  <si>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</si>
  <si>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</si>
  <si>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</si>
  <si>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</si>
  <si>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</si>
  <si>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</si>
  <si>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</si>
  <si>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</si>
  <si>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</si>
  <si>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</si>
  <si>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</si>
  <si>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</si>
  <si>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</si>
  <si>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</si>
  <si>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</si>
  <si>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</si>
  <si>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</si>
  <si>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</si>
  <si>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</si>
  <si>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</si>
  <si>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</si>
  <si>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</si>
  <si>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</si>
  <si>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</si>
  <si>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</si>
  <si>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</si>
  <si>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</si>
  <si>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</si>
  <si>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</si>
  <si>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</si>
  <si>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</si>
  <si>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</si>
  <si>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</si>
  <si>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</si>
  <si>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</si>
  <si>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</si>
  <si>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</si>
  <si>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</si>
  <si>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</si>
  <si>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</si>
  <si>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</si>
  <si>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</si>
  <si>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</si>
  <si>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</si>
  <si>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</si>
  <si>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</si>
  <si>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</si>
  <si>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</si>
  <si>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</si>
  <si>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</si>
  <si>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</si>
  <si>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</si>
  <si>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</si>
  <si>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</si>
  <si>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</si>
  <si>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</si>
  <si>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</si>
  <si>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</si>
  <si>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</si>
  <si>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</si>
  <si>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</si>
  <si>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</si>
  <si>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</si>
  <si>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</si>
  <si>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</si>
  <si>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</si>
  <si>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</si>
  <si>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</si>
  <si>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</si>
  <si>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</si>
  <si>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</si>
  <si>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</si>
  <si>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</si>
  <si>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</si>
  <si>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</si>
  <si>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</si>
  <si>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</si>
  <si>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</si>
  <si>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</si>
  <si>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</si>
  <si>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</si>
  <si>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</si>
  <si>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</si>
  <si>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</si>
  <si>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</si>
  <si>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</si>
  <si>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</si>
  <si>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</si>
  <si>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</si>
  <si>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</si>
  <si>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</si>
  <si>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</si>
  <si>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</si>
  <si>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</si>
  <si>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</si>
  <si>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</si>
  <si>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</si>
  <si>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</si>
  <si>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</si>
  <si>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</si>
  <si>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</si>
  <si>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</si>
  <si>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</si>
  <si>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</si>
  <si>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</si>
  <si>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</si>
  <si>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</si>
  <si>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</si>
  <si>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</si>
  <si>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</si>
  <si>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</si>
  <si>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</si>
  <si>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</si>
  <si>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</si>
  <si>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</si>
  <si>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</si>
  <si>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</si>
  <si>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</si>
  <si>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</si>
  <si>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</si>
  <si>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</si>
  <si>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</si>
  <si>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</si>
  <si>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</si>
  <si>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</si>
  <si>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</si>
  <si>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</si>
  <si>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</si>
  <si>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</si>
  <si>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</si>
  <si>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</si>
  <si>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</si>
  <si>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</si>
  <si>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</si>
  <si>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</si>
  <si>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</si>
  <si>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</si>
  <si>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</si>
  <si>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</si>
  <si>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</si>
  <si>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</si>
  <si>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</si>
  <si>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</si>
  <si>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</si>
  <si>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</si>
  <si>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</si>
  <si>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</si>
  <si>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</si>
  <si>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</si>
  <si>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</si>
  <si>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</si>
  <si>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</si>
  <si>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</si>
  <si>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</si>
  <si>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</si>
  <si>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</si>
  <si>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</si>
  <si>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</si>
  <si>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</si>
  <si>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</si>
  <si>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</si>
  <si>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</si>
  <si>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</si>
  <si>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</si>
  <si>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</si>
  <si>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</si>
  <si>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</si>
  <si>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</si>
  <si>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</si>
  <si>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</si>
  <si>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</si>
  <si>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</si>
  <si>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</si>
  <si>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</si>
  <si>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</si>
  <si>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</si>
  <si>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</si>
  <si>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</si>
  <si>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</si>
  <si>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</si>
  <si>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</si>
  <si>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</si>
  <si>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</si>
  <si>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</si>
  <si>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</si>
  <si>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</si>
  <si>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</si>
  <si>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</si>
  <si>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</si>
  <si>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</si>
  <si>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</si>
  <si>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</si>
  <si>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</si>
  <si>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</si>
  <si>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</si>
  <si>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</si>
  <si>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</si>
  <si>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</si>
  <si>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</si>
  <si>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</si>
  <si>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</si>
  <si>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</si>
  <si>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</si>
  <si>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</si>
  <si>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</si>
  <si>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</si>
  <si>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</si>
  <si>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</si>
  <si>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</si>
  <si>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</si>
  <si>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</si>
  <si>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</si>
  <si>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</si>
  <si>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</si>
  <si>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</si>
  <si>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</si>
  <si>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</si>
  <si>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</si>
  <si>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</si>
  <si>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</si>
  <si>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</si>
  <si>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</si>
  <si>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</si>
  <si>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</si>
  <si>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</si>
  <si>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</si>
  <si>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</si>
  <si>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</si>
  <si>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</si>
  <si>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</si>
  <si>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</si>
  <si>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</si>
  <si>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</si>
  <si>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</si>
  <si>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</si>
  <si>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</si>
  <si>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</si>
  <si>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</si>
  <si>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</si>
  <si>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</si>
  <si>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</si>
  <si>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</si>
  <si>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</si>
  <si>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</si>
  <si>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</si>
  <si>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</si>
  <si>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</si>
  <si>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</si>
  <si>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</si>
  <si>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</si>
  <si>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</si>
  <si>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</si>
  <si>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</si>
  <si>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</si>
  <si>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</si>
  <si>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</si>
  <si>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</si>
  <si>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</si>
  <si>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</si>
  <si>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</si>
  <si>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</si>
  <si>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</si>
  <si>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</si>
  <si>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</si>
  <si>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</si>
  <si>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</si>
  <si>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</si>
  <si>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</si>
  <si>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</si>
  <si>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</si>
  <si>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</si>
  <si>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</si>
  <si>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</si>
  <si>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</si>
  <si>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</si>
  <si>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</si>
  <si>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</si>
  <si>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</si>
  <si>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</si>
  <si>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</si>
  <si>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</si>
  <si>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</si>
  <si>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</si>
  <si>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</si>
  <si>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</si>
  <si>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</si>
  <si>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</si>
  <si>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</si>
  <si>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</si>
  <si>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</si>
  <si>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</si>
  <si>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</si>
  <si>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</si>
  <si>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</si>
  <si>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</si>
  <si>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</si>
  <si>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</si>
  <si>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</si>
  <si>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</si>
  <si>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</si>
  <si>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</si>
  <si>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</si>
  <si>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</si>
  <si>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</si>
  <si>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</si>
  <si>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</si>
  <si>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</si>
  <si>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</si>
  <si>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</si>
  <si>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</si>
  <si>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</si>
  <si>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</si>
  <si>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</si>
  <si>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</si>
  <si>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</si>
  <si>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</si>
  <si>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</si>
  <si>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</si>
  <si>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</si>
  <si>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</si>
  <si>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</si>
  <si>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</si>
  <si>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</si>
  <si>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</si>
  <si>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</si>
  <si>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</si>
  <si>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</si>
  <si>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</si>
  <si>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</si>
  <si>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</si>
  <si>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</si>
  <si>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</si>
  <si>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</si>
  <si>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</si>
  <si>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</si>
  <si>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</si>
  <si>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</si>
  <si>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</si>
  <si>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</si>
  <si>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</si>
  <si>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</si>
  <si>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</si>
  <si>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</si>
  <si>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</si>
  <si>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</si>
  <si>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</si>
  <si>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</si>
  <si>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</si>
  <si>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</si>
  <si>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</si>
  <si>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</si>
  <si>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</si>
  <si>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</si>
  <si>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</si>
  <si>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</si>
  <si>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</si>
  <si>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</si>
  <si>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</si>
  <si>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</si>
  <si>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</si>
  <si>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</si>
  <si>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</si>
  <si>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</si>
  <si>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</si>
  <si>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</si>
  <si>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</si>
  <si>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</si>
  <si>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</si>
  <si>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</si>
  <si>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</si>
  <si>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</si>
  <si>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</si>
  <si>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</si>
  <si>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</si>
  <si>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</si>
  <si>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</si>
  <si>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</si>
  <si>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</si>
  <si>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</si>
  <si>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</si>
  <si>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</si>
  <si>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</si>
  <si>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</si>
  <si>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</si>
  <si>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</si>
  <si>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</si>
  <si>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</si>
  <si>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</si>
  <si>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</si>
  <si>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</si>
  <si>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</si>
  <si>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</si>
  <si>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</si>
  <si>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</si>
  <si>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</si>
  <si>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</si>
  <si>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</si>
  <si>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</si>
  <si>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</si>
  <si>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</si>
  <si>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</si>
  <si>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</si>
  <si>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</si>
  <si>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</si>
  <si>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</si>
  <si>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</si>
  <si>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</si>
  <si>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</si>
  <si>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</si>
  <si>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</si>
  <si>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</si>
  <si>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</si>
  <si>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</si>
  <si>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</si>
  <si>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</si>
  <si>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</si>
  <si>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</si>
  <si>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</si>
  <si>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</si>
  <si>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</si>
  <si>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</si>
  <si>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</si>
  <si>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</si>
  <si>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</si>
  <si>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</si>
  <si>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</si>
  <si>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</si>
  <si>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</si>
  <si>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</si>
  <si>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</si>
  <si>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</si>
  <si>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</si>
  <si>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</si>
  <si>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</si>
  <si>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</si>
  <si>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</si>
  <si>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</si>
  <si>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</si>
  <si>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</si>
  <si>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</si>
  <si>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</si>
  <si>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</si>
  <si>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</si>
  <si>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</si>
  <si>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</si>
  <si>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</si>
  <si>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</si>
  <si>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</si>
  <si>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</si>
  <si>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</si>
  <si>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</si>
  <si>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</si>
  <si>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</si>
  <si>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</si>
  <si>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</si>
  <si>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</si>
  <si>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</si>
  <si>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</si>
  <si>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</si>
  <si>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</si>
  <si>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</si>
  <si>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</si>
  <si>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</si>
  <si>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</si>
  <si>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</si>
  <si>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</si>
  <si>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</si>
  <si>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</si>
  <si>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</si>
  <si>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</si>
  <si>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</si>
  <si>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</si>
  <si>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</si>
  <si>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</si>
  <si>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</si>
  <si>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</si>
  <si>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</si>
  <si>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</si>
  <si>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</si>
  <si>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</si>
  <si>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</si>
  <si>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</si>
  <si>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</si>
  <si>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</si>
  <si>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</si>
  <si>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</si>
  <si>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</si>
  <si>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</si>
  <si>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</si>
  <si>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</si>
  <si>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</si>
  <si>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</si>
  <si>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</si>
  <si>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</si>
  <si>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</si>
  <si>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</si>
  <si>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</si>
  <si>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</si>
  <si>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</si>
  <si>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</si>
  <si>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</si>
  <si>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</si>
  <si>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</si>
  <si>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</si>
  <si>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</si>
  <si>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</si>
  <si>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</si>
  <si>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</si>
  <si>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</si>
  <si>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</si>
  <si>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</si>
  <si>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</si>
  <si>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</si>
  <si>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</si>
  <si>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</si>
  <si>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</si>
  <si>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</si>
  <si>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</si>
  <si>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</si>
  <si>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</si>
  <si>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</si>
  <si>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</si>
  <si>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</si>
  <si>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</si>
  <si>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</si>
  <si>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</si>
  <si>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</si>
  <si>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</si>
  <si>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</si>
  <si>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</si>
  <si>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</si>
  <si>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</si>
  <si>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</si>
  <si>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</si>
  <si>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</si>
  <si>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</si>
  <si>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</si>
  <si>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</si>
  <si>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</si>
  <si>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</si>
  <si>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</si>
  <si>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</si>
  <si>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</si>
  <si>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</si>
  <si>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</si>
  <si>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</si>
  <si>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</si>
  <si>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</si>
  <si>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</si>
  <si>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</si>
  <si>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</si>
  <si>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</si>
  <si>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</si>
  <si>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</si>
  <si>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</si>
  <si>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</si>
  <si>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</si>
  <si>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</si>
  <si>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</si>
  <si>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</si>
  <si>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</si>
  <si>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</si>
  <si>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</si>
  <si>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</si>
  <si>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</si>
  <si>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</si>
  <si>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</si>
  <si>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</si>
  <si>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</si>
  <si>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</si>
  <si>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</si>
  <si>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</si>
  <si>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</si>
  <si>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</si>
  <si>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</si>
  <si>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</si>
  <si>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</si>
  <si>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</si>
  <si>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</si>
  <si>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</si>
  <si>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</si>
  <si>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</si>
  <si>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</si>
  <si>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</si>
  <si>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</si>
  <si>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</si>
  <si>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</si>
  <si>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</si>
  <si>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</si>
  <si>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</si>
  <si>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</si>
  <si>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</si>
  <si>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</si>
  <si>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</si>
  <si>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</si>
  <si>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</si>
  <si>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</si>
  <si>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</si>
  <si>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</si>
  <si>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</si>
  <si>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</si>
  <si>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</si>
  <si>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</si>
  <si>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</si>
  <si>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</si>
  <si>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</si>
  <si>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</si>
  <si>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</si>
  <si>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</si>
  <si>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</si>
  <si>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</si>
  <si>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</si>
  <si>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</si>
  <si>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</si>
  <si>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</si>
  <si>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</si>
  <si>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</si>
  <si>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</si>
  <si>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</si>
  <si>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</si>
  <si>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</si>
  <si>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</si>
  <si>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</si>
  <si>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</si>
  <si>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</si>
  <si>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</si>
  <si>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</si>
  <si>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</si>
  <si>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</si>
  <si>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</si>
  <si>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</si>
  <si>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</si>
  <si>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</si>
  <si>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</si>
  <si>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</si>
  <si>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</si>
  <si>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</si>
  <si>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</si>
  <si>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</si>
  <si>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</si>
  <si>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</si>
  <si>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</si>
  <si>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</si>
  <si>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</si>
  <si>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</si>
  <si>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</si>
  <si>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</si>
  <si>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</si>
  <si>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</si>
  <si>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</si>
  <si>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</si>
  <si>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</si>
  <si>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</si>
  <si>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</si>
  <si>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</si>
  <si>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</si>
  <si>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</si>
  <si>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</si>
  <si>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</si>
  <si>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</si>
  <si>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</si>
  <si>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</si>
  <si>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</si>
  <si>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</si>
  <si>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</si>
  <si>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</si>
  <si>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</si>
  <si>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</si>
  <si>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</si>
  <si>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</si>
  <si>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</si>
  <si>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</si>
  <si>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</si>
  <si>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</si>
  <si>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</si>
  <si>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</si>
  <si>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</si>
  <si>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</si>
  <si>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</si>
  <si>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</si>
  <si>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</si>
  <si>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</si>
  <si>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</si>
  <si>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</si>
  <si>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</si>
  <si>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</si>
  <si>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</si>
  <si>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</si>
  <si>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</si>
  <si>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</si>
  <si>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</si>
  <si>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</si>
  <si>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</si>
  <si>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</si>
  <si>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</si>
  <si>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</si>
  <si>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</si>
  <si>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</si>
  <si>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</si>
  <si>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</si>
  <si>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</si>
  <si>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</si>
  <si>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</si>
  <si>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</si>
  <si>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</si>
  <si>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</si>
  <si>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</si>
  <si>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</si>
  <si>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</si>
  <si>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</si>
  <si>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</si>
  <si>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</si>
  <si>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</si>
  <si>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</si>
  <si>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</si>
  <si>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</si>
  <si>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</si>
  <si>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</si>
  <si>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</si>
  <si>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</si>
  <si>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</si>
  <si>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</si>
  <si>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</si>
  <si>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</si>
  <si>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</si>
  <si>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</si>
  <si>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</si>
  <si>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</si>
  <si>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</si>
  <si>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</si>
  <si>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</si>
  <si>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</si>
  <si>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</si>
  <si>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</si>
  <si>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</si>
  <si>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</si>
  <si>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</si>
  <si>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</si>
  <si>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</si>
  <si>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</si>
  <si>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</si>
  <si>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</si>
  <si>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</si>
  <si>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</si>
  <si>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</si>
  <si>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</si>
  <si>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</si>
  <si>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</si>
  <si>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</si>
  <si>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</si>
  <si>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</si>
  <si>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</si>
  <si>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</si>
  <si>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</si>
  <si>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</si>
  <si>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</si>
  <si>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</si>
  <si>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</si>
  <si>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</si>
  <si>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</si>
  <si>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</si>
  <si>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</si>
  <si>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</si>
  <si>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</si>
  <si>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</si>
  <si>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</si>
  <si>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</si>
  <si>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</si>
  <si>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</si>
  <si>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</si>
  <si>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</si>
  <si>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</si>
  <si>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</si>
  <si>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</si>
  <si>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</si>
  <si>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</si>
  <si>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</si>
  <si>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</si>
  <si>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</si>
  <si>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</si>
  <si>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</si>
  <si>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</si>
  <si>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</si>
  <si>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</si>
  <si>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</si>
  <si>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</si>
  <si>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</si>
  <si>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</si>
  <si>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</si>
  <si>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</si>
  <si>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</si>
  <si>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</si>
  <si>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</si>
  <si>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</si>
  <si>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</si>
  <si>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</si>
  <si>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</si>
  <si>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</si>
  <si>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</si>
  <si>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</si>
  <si>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</si>
  <si>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</si>
  <si>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</si>
  <si>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</si>
  <si>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</si>
  <si>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</si>
  <si>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</si>
  <si>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</si>
  <si>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</si>
  <si>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</si>
  <si>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</si>
  <si>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</si>
  <si>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</si>
  <si>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</si>
  <si>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</si>
  <si>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</si>
  <si>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</si>
  <si>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</si>
  <si>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</si>
  <si>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</si>
  <si>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</si>
  <si>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</si>
  <si>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</si>
  <si>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</si>
  <si>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</si>
  <si>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</si>
  <si>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</si>
  <si>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</si>
  <si>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</si>
  <si>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</si>
  <si>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</si>
  <si>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</si>
  <si>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</si>
  <si>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</si>
  <si>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</si>
  <si>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</si>
  <si>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</si>
  <si>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</si>
  <si>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</si>
  <si>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</si>
  <si>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</si>
  <si>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</si>
  <si>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</si>
  <si>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</si>
  <si>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</si>
  <si>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</si>
  <si>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</si>
  <si>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</si>
  <si>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</si>
  <si>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</si>
  <si>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</si>
  <si>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</si>
  <si>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</si>
  <si>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</si>
  <si>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</si>
  <si>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</si>
  <si>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</si>
  <si>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</si>
  <si>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</si>
  <si>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</si>
  <si>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</si>
  <si>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</si>
  <si>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</si>
  <si>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</si>
  <si>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</si>
  <si>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</si>
  <si>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</si>
  <si>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</si>
  <si>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</si>
  <si>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</si>
  <si>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</si>
  <si>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</si>
  <si>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</si>
  <si>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</si>
  <si>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</si>
  <si>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</si>
  <si>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</si>
  <si>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</si>
  <si>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</si>
  <si>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</si>
  <si>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</si>
  <si>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</si>
  <si>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</si>
  <si>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</si>
  <si>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</si>
  <si>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</si>
  <si>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</si>
  <si>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</si>
  <si>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</si>
  <si>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</si>
  <si>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</si>
  <si>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</si>
  <si>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</si>
  <si>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</si>
  <si>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</si>
  <si>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</si>
  <si>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</si>
  <si>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</si>
  <si>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</si>
  <si>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</si>
  <si>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</si>
  <si>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</si>
  <si>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</si>
  <si>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</si>
  <si>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</si>
  <si>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</si>
  <si>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</si>
  <si>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</si>
  <si>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</si>
  <si>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</si>
  <si>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</si>
  <si>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</si>
  <si>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</si>
  <si>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</si>
  <si>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</si>
  <si>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</si>
  <si>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</si>
  <si>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</si>
  <si>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</si>
  <si>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</si>
  <si>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</si>
  <si>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</si>
  <si>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</si>
  <si>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</si>
  <si>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</si>
  <si>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</si>
  <si>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</si>
  <si>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</si>
  <si>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</si>
  <si>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</si>
  <si>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</si>
  <si>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</si>
  <si>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</si>
  <si>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</si>
  <si>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</si>
  <si>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</si>
  <si>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</si>
  <si>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</si>
  <si>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</si>
  <si>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</si>
  <si>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</si>
  <si>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</si>
  <si>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</si>
  <si>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</si>
  <si>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</si>
  <si>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</si>
  <si>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</si>
  <si>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</si>
  <si>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</si>
  <si>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</si>
  <si>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</si>
  <si>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</si>
  <si>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</si>
  <si>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</si>
  <si>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</si>
  <si>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</si>
  <si>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</si>
  <si>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</si>
  <si>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</si>
  <si>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</si>
  <si>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</si>
  <si>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</si>
  <si>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</si>
  <si>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</si>
  <si>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</si>
  <si>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</si>
  <si>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</si>
  <si>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</si>
  <si>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</si>
  <si>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</si>
  <si>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</si>
  <si>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</si>
  <si>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</si>
  <si>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</si>
  <si>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</si>
  <si>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</si>
  <si>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</si>
  <si>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</si>
  <si>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</si>
  <si>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</si>
  <si>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</si>
  <si>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</si>
  <si>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</si>
  <si>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</si>
  <si>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</si>
  <si>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</si>
  <si>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</si>
  <si>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</si>
  <si>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</si>
  <si>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</si>
  <si>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</si>
  <si>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</si>
  <si>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</si>
  <si>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</si>
  <si>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</si>
  <si>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</si>
  <si>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</si>
  <si>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</si>
  <si>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</si>
  <si>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</si>
  <si>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</si>
  <si>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</si>
  <si>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</si>
  <si>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</si>
  <si>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</si>
  <si>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</si>
  <si>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</si>
  <si>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</si>
  <si>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</si>
  <si>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</si>
  <si>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</si>
  <si>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</si>
  <si>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</si>
  <si>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</si>
  <si>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</si>
  <si>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</si>
  <si>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</si>
  <si>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</si>
  <si>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</si>
  <si>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</si>
  <si>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</si>
  <si>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</si>
  <si>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</si>
  <si>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</si>
  <si>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</si>
  <si>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</si>
  <si>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</si>
  <si>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</si>
  <si>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</si>
  <si>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</si>
  <si>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</si>
  <si>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</si>
  <si>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</si>
  <si>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</si>
  <si>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</si>
  <si>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</si>
  <si>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</si>
  <si>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</si>
  <si>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</si>
  <si>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</si>
  <si>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</si>
  <si>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</si>
  <si>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</si>
  <si>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</si>
  <si>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</si>
  <si>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</si>
  <si>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</si>
  <si>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</si>
  <si>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</si>
  <si>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</si>
  <si>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</si>
  <si>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</si>
  <si>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</si>
  <si>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</si>
  <si>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</si>
  <si>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</si>
  <si>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</si>
  <si>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</si>
  <si>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</si>
  <si>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</si>
  <si>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</si>
  <si>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</si>
  <si>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</si>
  <si>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</si>
  <si>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</si>
  <si>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</si>
  <si>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</si>
  <si>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</si>
  <si>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</si>
  <si>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</si>
  <si>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</si>
  <si>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</si>
  <si>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</si>
  <si>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</si>
  <si>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</si>
  <si>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</si>
  <si>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</si>
  <si>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</si>
  <si>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</si>
  <si>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</si>
  <si>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</si>
  <si>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</si>
  <si>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</si>
  <si>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</si>
  <si>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</si>
  <si>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</si>
  <si>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</si>
  <si>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</si>
  <si>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</si>
  <si>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</si>
  <si>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</si>
  <si>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</si>
  <si>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</si>
  <si>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</si>
  <si>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</si>
  <si>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</si>
  <si>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</si>
  <si>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</si>
  <si>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</si>
  <si>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</si>
  <si>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</si>
  <si>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</si>
  <si>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</si>
  <si>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</si>
  <si>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</si>
  <si>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</si>
  <si>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</si>
  <si>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</si>
  <si>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</si>
  <si>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</si>
  <si>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</si>
  <si>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</si>
  <si>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</si>
  <si>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</si>
  <si>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</si>
  <si>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</si>
  <si>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</si>
  <si>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</si>
  <si>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</si>
  <si>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</si>
  <si>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</si>
  <si>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</si>
  <si>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</si>
  <si>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</si>
  <si>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</si>
  <si>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</si>
  <si>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</si>
  <si>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</si>
  <si>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</si>
  <si>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</si>
  <si>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</si>
  <si>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</si>
  <si>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</si>
  <si>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</si>
  <si>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</si>
  <si>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</si>
  <si>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</si>
  <si>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</si>
  <si>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</si>
  <si>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</si>
  <si>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</si>
  <si>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</si>
  <si>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</si>
  <si>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</si>
  <si>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</si>
  <si>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</si>
  <si>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</si>
  <si>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</si>
  <si>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</si>
  <si>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</si>
  <si>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</si>
  <si>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</si>
  <si>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</si>
  <si>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</si>
  <si>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</si>
  <si>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</si>
  <si>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</si>
  <si>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</si>
  <si>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</si>
  <si>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</si>
  <si>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</si>
  <si>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</si>
  <si>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</si>
  <si>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</si>
  <si>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</si>
  <si>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</si>
  <si>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</si>
  <si>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</si>
  <si>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</si>
  <si>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</si>
  <si>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</si>
  <si>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</si>
  <si>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</si>
  <si>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</si>
  <si>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</si>
  <si>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</si>
  <si>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</si>
  <si>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</si>
  <si>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</si>
  <si>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</si>
  <si>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</si>
  <si>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</si>
  <si>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</si>
  <si>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</si>
  <si>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</si>
  <si>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</si>
  <si>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</si>
  <si>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</si>
  <si>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</si>
  <si>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</si>
  <si>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</si>
  <si>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</si>
  <si>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</si>
  <si>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</si>
  <si>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</si>
  <si>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</si>
  <si>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</si>
  <si>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</si>
  <si>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</si>
  <si>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</si>
  <si>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</si>
  <si>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</si>
  <si>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</si>
  <si>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</si>
  <si>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</si>
  <si>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</si>
  <si>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</si>
  <si>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</si>
  <si>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</si>
  <si>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</si>
  <si>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</si>
  <si>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</si>
  <si>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</si>
  <si>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</si>
  <si>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</si>
  <si>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</si>
  <si>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</si>
  <si>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</si>
  <si>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</si>
  <si>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</si>
  <si>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</si>
  <si>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</si>
  <si>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</si>
  <si>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</si>
  <si>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</si>
  <si>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</si>
  <si>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</si>
  <si>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</si>
  <si>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</si>
  <si>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</si>
  <si>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</si>
  <si>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</si>
  <si>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</si>
  <si>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</si>
  <si>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</si>
  <si>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</si>
  <si>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</si>
  <si>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</si>
  <si>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</si>
  <si>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</si>
  <si>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</si>
  <si>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</si>
  <si>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</si>
  <si>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</si>
  <si>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</si>
  <si>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</si>
  <si>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</si>
  <si>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</si>
  <si>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</si>
  <si>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</si>
  <si>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</si>
  <si>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</si>
  <si>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</si>
  <si>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</si>
  <si>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</si>
  <si>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</si>
  <si>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</si>
  <si>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</si>
  <si>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</si>
  <si>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</si>
  <si>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</si>
  <si>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</si>
  <si>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</si>
  <si>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</si>
  <si>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</si>
  <si>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</si>
  <si>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</si>
  <si>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</si>
  <si>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</si>
  <si>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</si>
  <si>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</si>
  <si>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</si>
  <si>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</si>
  <si>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</si>
  <si>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</si>
  <si>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</si>
  <si>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</si>
  <si>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</si>
  <si>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</si>
  <si>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</si>
  <si>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</si>
  <si>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</si>
  <si>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</si>
  <si>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</si>
  <si>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</si>
  <si>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</si>
  <si>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</si>
  <si>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</si>
  <si>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</si>
  <si>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</si>
  <si>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</si>
  <si>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</si>
  <si>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</si>
  <si>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</si>
  <si>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</si>
  <si>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</si>
  <si>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</si>
  <si>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</si>
  <si>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</si>
  <si>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</si>
  <si>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</si>
  <si>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</si>
  <si>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</si>
  <si>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</si>
  <si>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</si>
  <si>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</si>
  <si>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</si>
  <si>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</si>
  <si>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</si>
  <si>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</si>
  <si>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</si>
  <si>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</si>
  <si>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</si>
  <si>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</si>
  <si>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</si>
  <si>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</si>
  <si>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</si>
  <si>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</si>
  <si>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</si>
  <si>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</si>
  <si>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</si>
  <si>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</si>
  <si>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</si>
  <si>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</si>
  <si>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</si>
  <si>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</si>
  <si>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</si>
  <si>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</si>
  <si>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</si>
  <si>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</si>
  <si>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</si>
  <si>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</si>
  <si>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</si>
  <si>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</si>
  <si>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</si>
  <si>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</si>
  <si>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</si>
  <si>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</si>
  <si>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</si>
  <si>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</si>
  <si>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</si>
  <si>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</si>
  <si>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</si>
  <si>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</si>
  <si>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</si>
  <si>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</si>
  <si>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</si>
  <si>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</si>
  <si>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</si>
  <si>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</si>
  <si>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</si>
  <si>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</si>
  <si>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</si>
  <si>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</si>
  <si>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</si>
  <si>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</si>
  <si>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</si>
  <si>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</si>
  <si>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</si>
  <si>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</si>
  <si>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</si>
  <si>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</si>
  <si>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</si>
  <si>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</si>
  <si>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</si>
  <si>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</si>
  <si>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</si>
  <si>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</si>
  <si>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</si>
  <si>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</si>
  <si>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</si>
  <si>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</si>
  <si>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</si>
  <si>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</si>
  <si>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</si>
  <si>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</si>
  <si>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</si>
  <si>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</si>
  <si>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</si>
  <si>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</si>
  <si>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</si>
  <si>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</si>
  <si>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</si>
  <si>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</si>
  <si>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</si>
  <si>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</si>
  <si>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</si>
  <si>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</si>
  <si>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</si>
  <si>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</si>
  <si>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</si>
  <si>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</si>
  <si>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</si>
  <si>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</si>
  <si>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</si>
  <si>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</si>
  <si>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</si>
  <si>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</si>
  <si>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</si>
  <si>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</si>
  <si>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</si>
  <si>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</si>
  <si>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</si>
  <si>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</si>
  <si>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</si>
  <si>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</si>
  <si>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</si>
  <si>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</si>
  <si>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</si>
  <si>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</si>
  <si>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</si>
  <si>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</si>
  <si>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</si>
  <si>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</si>
  <si>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</si>
  <si>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</si>
  <si>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</si>
  <si>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</si>
  <si>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</si>
  <si>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</si>
  <si>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</si>
  <si>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</si>
  <si>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</si>
  <si>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</si>
  <si>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</si>
  <si>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</si>
  <si>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</si>
  <si>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</si>
  <si>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</si>
  <si>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</si>
  <si>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</si>
  <si>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</si>
  <si>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</si>
  <si>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</si>
  <si>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</si>
  <si>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</si>
  <si>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</si>
  <si>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</si>
  <si>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</si>
  <si>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</si>
  <si>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</si>
  <si>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</si>
  <si>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</si>
  <si>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</si>
  <si>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</si>
  <si>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</si>
  <si>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</si>
  <si>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</si>
  <si>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</si>
  <si>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</si>
  <si>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</si>
  <si>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</si>
  <si>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</si>
  <si>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</si>
  <si>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</si>
  <si>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</si>
  <si>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</si>
  <si>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</si>
  <si>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</si>
  <si>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</si>
  <si>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</si>
  <si>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</si>
  <si>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</si>
  <si>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</si>
  <si>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</si>
  <si>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</si>
  <si>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</si>
  <si>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</si>
  <si>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</si>
  <si>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</si>
  <si>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</si>
  <si>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</si>
  <si>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</si>
  <si>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</si>
  <si>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</si>
  <si>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</si>
  <si>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</si>
  <si>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</si>
  <si>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</si>
  <si>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</si>
  <si>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</si>
  <si>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</si>
  <si>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</si>
  <si>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</si>
  <si>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</si>
  <si>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</si>
  <si>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</si>
  <si>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</si>
  <si>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</si>
  <si>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</si>
  <si>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</si>
  <si>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</si>
  <si>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</si>
  <si>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</si>
  <si>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</si>
  <si>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</si>
  <si>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</si>
  <si>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</si>
  <si>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</si>
  <si>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</si>
  <si>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</si>
  <si>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</si>
  <si>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</si>
  <si>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</si>
  <si>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</si>
  <si>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</si>
  <si>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</si>
  <si>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</si>
  <si>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</si>
  <si>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</si>
  <si>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</si>
  <si>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</si>
  <si>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</si>
  <si>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</si>
  <si>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</si>
  <si>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</si>
  <si>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</si>
  <si>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</si>
  <si>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</si>
  <si>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</si>
  <si>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</si>
  <si>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</si>
  <si>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</si>
  <si>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</si>
  <si>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</si>
  <si>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</si>
  <si>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</si>
  <si>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</si>
  <si>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</si>
  <si>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</si>
  <si>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</si>
  <si>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</si>
  <si>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</si>
  <si>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</si>
  <si>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</si>
  <si>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</si>
  <si>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</si>
  <si>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</si>
  <si>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</si>
  <si>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</si>
  <si>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</si>
  <si>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</si>
  <si>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</si>
  <si>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</si>
  <si>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</si>
  <si>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</si>
  <si>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</si>
  <si>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</si>
  <si>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</si>
  <si>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</si>
  <si>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</si>
  <si>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</si>
  <si>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</si>
  <si>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</si>
  <si>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</si>
  <si>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</si>
  <si>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</si>
  <si>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</si>
  <si>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</si>
  <si>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</si>
  <si>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</si>
  <si>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</si>
  <si>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</si>
  <si>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</si>
  <si>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</si>
  <si>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</si>
  <si>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</si>
  <si>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</si>
  <si>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</si>
  <si>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</si>
  <si>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</si>
  <si>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</si>
  <si>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</si>
  <si>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</si>
  <si>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</si>
  <si>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</si>
  <si>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</si>
  <si>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</si>
  <si>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</si>
  <si>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</si>
  <si>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</si>
  <si>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</si>
  <si>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</si>
  <si>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</si>
  <si>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</si>
  <si>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</si>
  <si>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</si>
  <si>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</si>
  <si>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</si>
  <si>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</si>
  <si>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</si>
  <si>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</si>
  <si>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</si>
  <si>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</si>
  <si>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</si>
  <si>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</si>
  <si>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</si>
  <si>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</si>
  <si>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</si>
  <si>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</si>
  <si>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</si>
  <si>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</si>
  <si>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</si>
  <si>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</si>
  <si>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</si>
  <si>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</si>
  <si>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</si>
  <si>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</si>
  <si>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</si>
  <si>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</si>
  <si>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</si>
  <si>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</si>
  <si>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</si>
  <si>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</si>
  <si>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</si>
  <si>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</si>
  <si>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</si>
  <si>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</si>
  <si>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</si>
  <si>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</si>
  <si>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</si>
  <si>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</si>
  <si>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</si>
  <si>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</si>
  <si>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</si>
  <si>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</si>
  <si>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</si>
  <si>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</si>
  <si>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</si>
  <si>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</si>
  <si>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</si>
  <si>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</si>
  <si>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</si>
  <si>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</si>
  <si>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</si>
  <si>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</si>
  <si>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</si>
  <si>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</si>
  <si>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</si>
  <si>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</si>
  <si>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</si>
  <si>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</si>
  <si>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</si>
  <si>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</si>
  <si>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</si>
  <si>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</si>
  <si>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</si>
  <si>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</si>
  <si>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</si>
  <si>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</si>
  <si>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</si>
  <si>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</si>
  <si>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</si>
  <si>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</si>
  <si>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</si>
  <si>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</si>
  <si>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</si>
  <si>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</si>
  <si>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</si>
  <si>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</si>
  <si>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</si>
  <si>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</si>
  <si>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</si>
  <si>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</si>
  <si>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</si>
  <si>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</si>
  <si>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</si>
  <si>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</si>
  <si>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</si>
  <si>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</si>
  <si>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</si>
  <si>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</si>
  <si>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</si>
  <si>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</si>
  <si>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</si>
  <si>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</si>
  <si>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</si>
  <si>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</si>
  <si>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</si>
  <si>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</si>
  <si>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</si>
  <si>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</si>
  <si>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</si>
  <si>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</si>
  <si>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</si>
  <si>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</si>
  <si>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</si>
  <si>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</si>
  <si>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</si>
  <si>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</si>
  <si>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</si>
  <si>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</si>
  <si>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</si>
  <si>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</si>
  <si>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</si>
  <si>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</si>
  <si>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</si>
  <si>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</si>
  <si>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</si>
  <si>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</si>
  <si>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</si>
  <si>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</si>
  <si>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</si>
  <si>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</si>
  <si>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</si>
  <si>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</si>
  <si>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</si>
  <si>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</si>
  <si>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</si>
  <si>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</si>
  <si>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</si>
  <si>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</si>
  <si>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</si>
  <si>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</si>
  <si>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</si>
  <si>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</si>
  <si>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</si>
  <si>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</si>
  <si>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</si>
  <si>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</si>
  <si>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</si>
  <si>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</si>
  <si>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</si>
  <si>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</si>
  <si>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</si>
  <si>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</si>
  <si>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</si>
  <si>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</si>
  <si>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</si>
  <si>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</si>
  <si>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</si>
  <si>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</si>
  <si>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</si>
  <si>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</si>
  <si>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</si>
  <si>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</si>
  <si>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</si>
  <si>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</si>
  <si>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</si>
  <si>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</si>
  <si>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</si>
  <si>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</si>
  <si>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</si>
  <si>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</si>
  <si>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</si>
  <si>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</si>
  <si>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</si>
  <si>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</si>
  <si>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</si>
  <si>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</si>
  <si>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</si>
  <si>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</si>
  <si>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</si>
  <si>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</si>
  <si>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</si>
  <si>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</si>
  <si>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</si>
  <si>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</si>
  <si>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</si>
  <si>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</si>
  <si>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</si>
  <si>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</si>
  <si>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</si>
  <si>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</si>
  <si>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</si>
  <si>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</si>
  <si>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</si>
  <si>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</si>
  <si>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</si>
  <si>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</si>
  <si>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</si>
  <si>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</si>
  <si>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</si>
  <si>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</si>
  <si>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</si>
  <si>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</si>
  <si>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</si>
  <si>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</si>
  <si>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</si>
  <si>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</si>
  <si>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</si>
  <si>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</si>
  <si>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</si>
  <si>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</si>
  <si>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</si>
  <si>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</si>
  <si>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</si>
  <si>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</si>
  <si>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</si>
  <si>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</si>
  <si>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</si>
  <si>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</si>
  <si>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</si>
  <si>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</si>
  <si>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</si>
  <si>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</si>
  <si>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</si>
  <si>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</si>
  <si>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</si>
  <si>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</si>
  <si>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</si>
  <si>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</si>
  <si>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</si>
  <si>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</si>
  <si>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</si>
  <si>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</si>
  <si>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</si>
  <si>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</si>
  <si>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</si>
  <si>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</si>
  <si>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</si>
  <si>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</si>
  <si>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</si>
  <si>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</si>
  <si>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</si>
  <si>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</si>
  <si>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</si>
  <si>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</si>
  <si>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</si>
  <si>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</si>
  <si>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</si>
  <si>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</si>
  <si>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</si>
  <si>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</si>
  <si>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</si>
  <si>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</si>
  <si>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</si>
  <si>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</si>
  <si>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</si>
  <si>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</si>
  <si>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</si>
  <si>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</si>
  <si>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</si>
  <si>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</si>
  <si>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</si>
  <si>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</si>
  <si>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</si>
  <si>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</si>
  <si>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</si>
  <si>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</si>
  <si>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</si>
  <si>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</si>
  <si>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</si>
  <si>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</si>
  <si>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</si>
  <si>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</si>
  <si>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</si>
  <si>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</si>
  <si>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</si>
  <si>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</si>
  <si>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</si>
  <si>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</si>
  <si>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</si>
  <si>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</si>
  <si>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</si>
  <si>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</si>
  <si>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</si>
  <si>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</si>
  <si>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</si>
  <si>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</si>
  <si>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</si>
  <si>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</si>
  <si>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</si>
  <si>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</si>
  <si>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</si>
  <si>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</si>
  <si>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</si>
  <si>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</si>
  <si>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</si>
  <si>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</si>
  <si>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</si>
  <si>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</si>
  <si>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</si>
  <si>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</si>
  <si>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</si>
  <si>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</si>
  <si>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</si>
  <si>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</si>
  <si>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</si>
  <si>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</si>
  <si>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</si>
  <si>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</si>
  <si>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</si>
  <si>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</si>
  <si>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</si>
  <si>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</si>
  <si>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</si>
  <si>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</si>
  <si>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</si>
  <si>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</si>
  <si>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</si>
  <si>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</si>
  <si>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</si>
  <si>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</si>
  <si>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</si>
  <si>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</si>
  <si>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</si>
  <si>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</si>
  <si>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</si>
  <si>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</si>
  <si>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</si>
  <si>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</si>
  <si>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</si>
  <si>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</si>
  <si>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</si>
  <si>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</si>
  <si>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</si>
  <si>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</si>
  <si>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</si>
  <si>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</si>
  <si>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</si>
  <si>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</si>
  <si>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</si>
  <si>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</si>
  <si>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</si>
  <si>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</si>
  <si>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</si>
  <si>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</si>
  <si>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</si>
  <si>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</si>
  <si>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</si>
  <si>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</si>
  <si>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</si>
  <si>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</si>
  <si>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</si>
  <si>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</si>
  <si>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</si>
  <si>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</si>
  <si>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</si>
  <si>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</si>
  <si>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</si>
  <si>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</si>
  <si>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</si>
  <si>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</si>
  <si>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</si>
  <si>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</si>
  <si>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</si>
  <si>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</si>
  <si>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</si>
  <si>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</si>
  <si>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</si>
  <si>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</si>
  <si>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</si>
  <si>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</si>
  <si>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</si>
  <si>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</si>
  <si>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</si>
  <si>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</si>
  <si>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</si>
  <si>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</si>
  <si>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</si>
  <si>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</si>
  <si>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</si>
  <si>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</si>
  <si>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</si>
  <si>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</si>
  <si>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</si>
  <si>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</si>
  <si>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</si>
  <si>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</si>
  <si>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</si>
  <si>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</si>
  <si>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</si>
  <si>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</si>
  <si>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</si>
  <si>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</si>
  <si>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</si>
  <si>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</si>
  <si>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</si>
  <si>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</si>
  <si>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</si>
  <si>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</si>
  <si>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</si>
  <si>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</si>
  <si>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</si>
  <si>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</si>
  <si>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</si>
  <si>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</si>
  <si>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</si>
  <si>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</si>
  <si>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</si>
  <si>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</si>
  <si>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</si>
  <si>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</si>
  <si>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</si>
  <si>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</si>
  <si>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</si>
  <si>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</si>
  <si>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</si>
  <si>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</si>
  <si>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</si>
  <si>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</si>
  <si>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</si>
  <si>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</si>
  <si>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</si>
  <si>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</si>
  <si>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</si>
  <si>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</si>
  <si>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</si>
  <si>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</si>
  <si>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</si>
  <si>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</si>
  <si>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</si>
  <si>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</si>
  <si>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</si>
  <si>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</si>
  <si>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</si>
  <si>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</si>
  <si>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</si>
  <si>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</si>
  <si>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</si>
  <si>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</si>
  <si>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</si>
  <si>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</si>
  <si>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</si>
  <si>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</si>
  <si>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</si>
  <si>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</si>
  <si>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</si>
  <si>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</si>
  <si>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</si>
  <si>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</si>
  <si>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</si>
  <si>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</si>
  <si>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</si>
  <si>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</si>
  <si>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</si>
  <si>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</si>
  <si>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</si>
  <si>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</si>
  <si>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</si>
  <si>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</si>
  <si>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</si>
  <si>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</si>
  <si>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</si>
  <si>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</si>
  <si>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</si>
  <si>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</si>
  <si>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</si>
  <si>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</si>
  <si>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</si>
  <si>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</si>
  <si>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</si>
  <si>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</si>
  <si>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</si>
  <si>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</si>
  <si>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</si>
  <si>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</si>
  <si>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</si>
  <si>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</si>
  <si>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</si>
  <si>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</si>
  <si>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</si>
  <si>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</si>
  <si>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</si>
  <si>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</si>
  <si>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</si>
  <si>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</si>
  <si>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</si>
  <si>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</si>
  <si>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</si>
  <si>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</si>
  <si>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</si>
  <si>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</si>
  <si>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</si>
  <si>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</si>
  <si>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</si>
  <si>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</si>
  <si>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</si>
  <si>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</si>
  <si>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</si>
  <si>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</si>
  <si>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</si>
  <si>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</si>
  <si>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</si>
  <si>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</si>
  <si>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</si>
  <si>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</si>
  <si>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</si>
  <si>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</si>
  <si>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</si>
  <si>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</si>
  <si>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</si>
  <si>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</si>
  <si>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</si>
  <si>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</si>
  <si>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</si>
  <si>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</si>
  <si>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</si>
  <si>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</si>
  <si>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</si>
  <si>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</si>
  <si>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</si>
  <si>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</si>
  <si>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</si>
  <si>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</si>
  <si>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</si>
  <si>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</si>
  <si>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</si>
  <si>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</si>
  <si>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</si>
  <si>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</si>
  <si>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</si>
  <si>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</si>
  <si>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</si>
  <si>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</si>
  <si>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</si>
  <si>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</si>
  <si>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</si>
  <si>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</si>
  <si>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</si>
  <si>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</si>
  <si>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</si>
  <si>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</si>
  <si>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</si>
  <si>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</si>
  <si>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</si>
  <si>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</si>
  <si>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</si>
  <si>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</si>
  <si>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</si>
  <si>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</si>
  <si>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</si>
  <si>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</si>
  <si>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</si>
  <si>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</si>
  <si>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</si>
  <si>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</si>
  <si>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</si>
  <si>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</si>
  <si>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</si>
  <si>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</si>
  <si>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</si>
  <si>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</si>
  <si>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</si>
  <si>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</si>
  <si>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</si>
  <si>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</si>
  <si>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</si>
  <si>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</si>
  <si>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</si>
  <si>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</si>
  <si>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</si>
  <si>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</si>
  <si>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</si>
  <si>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</si>
  <si>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</si>
  <si>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</si>
  <si>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</si>
  <si>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</si>
  <si>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</si>
  <si>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</si>
  <si>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</si>
  <si>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</si>
  <si>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</si>
  <si>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</si>
  <si>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</si>
  <si>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</si>
  <si>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</si>
  <si>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</si>
  <si>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</si>
  <si>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</si>
  <si>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</si>
  <si>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</si>
  <si>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</si>
  <si>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</si>
  <si>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</si>
  <si>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</si>
  <si>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</si>
  <si>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</si>
  <si>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</si>
  <si>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</si>
  <si>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</si>
  <si>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</si>
  <si>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</si>
  <si>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</si>
  <si>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</si>
  <si>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</si>
  <si>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</si>
  <si>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</si>
  <si>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</si>
  <si>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</si>
  <si>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</si>
  <si>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</si>
  <si>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</si>
  <si>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</si>
  <si>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</si>
  <si>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</si>
  <si>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</si>
  <si>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</si>
  <si>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</si>
  <si>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</si>
  <si>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</si>
  <si>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</si>
  <si>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</si>
  <si>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</si>
  <si>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</si>
  <si>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</si>
  <si>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</si>
  <si>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</si>
  <si>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</si>
  <si>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</si>
  <si>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</si>
  <si>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</si>
  <si>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</si>
  <si>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</si>
  <si>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</si>
  <si>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</si>
  <si>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</si>
  <si>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</si>
  <si>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</si>
  <si>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</si>
  <si>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</si>
  <si>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</si>
  <si>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</si>
  <si>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</si>
  <si>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</si>
  <si>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</si>
  <si>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</si>
  <si>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</si>
  <si>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</si>
  <si>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</si>
  <si>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</si>
  <si>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</si>
  <si>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</si>
  <si>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</si>
  <si>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</si>
  <si>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</si>
  <si>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</si>
  <si>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</si>
  <si>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</si>
  <si>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</si>
  <si>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</si>
  <si>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</si>
  <si>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</si>
  <si>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</si>
  <si>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</si>
  <si>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</si>
  <si>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</si>
  <si>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</si>
  <si>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</si>
  <si>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</si>
  <si>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</si>
  <si>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</si>
  <si>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</si>
  <si>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</si>
  <si>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</si>
  <si>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</si>
  <si>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</si>
  <si>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</si>
  <si>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</si>
  <si>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</si>
  <si>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</si>
  <si>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</si>
  <si>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</si>
  <si>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</si>
  <si>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</si>
  <si>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</si>
  <si>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</si>
  <si>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</si>
  <si>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</si>
  <si>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</si>
  <si>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</si>
  <si>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</si>
  <si>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</si>
  <si>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</si>
  <si>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</si>
  <si>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</si>
  <si>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</si>
  <si>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</si>
  <si>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</si>
  <si>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</si>
  <si>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</si>
  <si>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</si>
  <si>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</si>
  <si>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</si>
  <si>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</si>
  <si>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</si>
  <si>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</si>
  <si>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</si>
  <si>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</si>
  <si>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</si>
  <si>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</si>
  <si>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</si>
  <si>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</si>
  <si>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</si>
  <si>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</si>
  <si>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</si>
  <si>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</si>
  <si>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</si>
  <si>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</si>
  <si>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</si>
  <si>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</si>
  <si>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</si>
  <si>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</si>
  <si>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</si>
  <si>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</si>
  <si>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</si>
  <si>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</si>
  <si>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</si>
  <si>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</si>
  <si>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</si>
  <si>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</si>
  <si>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</si>
  <si>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</si>
  <si>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</si>
  <si>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</si>
  <si>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</si>
  <si>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</si>
  <si>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</si>
  <si>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</si>
  <si>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</si>
  <si>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</si>
  <si>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</si>
  <si>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</si>
  <si>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</si>
  <si>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</si>
  <si>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</si>
  <si>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</si>
  <si>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</si>
  <si>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</si>
  <si>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</si>
  <si>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</si>
  <si>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</si>
  <si>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</si>
  <si>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</si>
  <si>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</si>
  <si>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</si>
  <si>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</si>
  <si>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</si>
  <si>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</si>
  <si>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</si>
  <si>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</si>
  <si>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</si>
  <si>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</si>
  <si>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</si>
  <si>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</si>
  <si>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</si>
  <si>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</si>
  <si>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</si>
  <si>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</si>
  <si>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</si>
  <si>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</si>
  <si>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</si>
  <si>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</si>
  <si>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</si>
  <si>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</si>
  <si>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</si>
  <si>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</si>
  <si>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</si>
  <si>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</si>
  <si>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</si>
  <si>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</si>
  <si>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</si>
  <si>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</si>
  <si>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</si>
  <si>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</si>
  <si>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</si>
  <si>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</si>
  <si>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</si>
  <si>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</si>
  <si>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</si>
  <si>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</si>
  <si>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</si>
  <si>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</si>
  <si>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</si>
  <si>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</si>
  <si>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</si>
  <si>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</si>
  <si>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</si>
  <si>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</si>
  <si>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</si>
  <si>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</si>
  <si>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</si>
  <si>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</si>
  <si>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</si>
  <si>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</si>
  <si>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</si>
  <si>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</si>
  <si>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</si>
  <si>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</si>
  <si>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</si>
  <si>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</si>
  <si>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</si>
  <si>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</si>
  <si>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</si>
  <si>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</si>
  <si>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</si>
  <si>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</si>
  <si>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</si>
  <si>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</si>
  <si>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</si>
  <si>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</si>
  <si>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</si>
  <si>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</si>
  <si>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</si>
  <si>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</si>
  <si>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</si>
  <si>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</si>
  <si>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</si>
  <si>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</si>
  <si>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</si>
  <si>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</si>
  <si>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</si>
  <si>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</si>
  <si>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</si>
  <si>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</si>
  <si>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</si>
  <si>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</si>
  <si>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</si>
  <si>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</si>
  <si>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</si>
  <si>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</si>
  <si>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</si>
  <si>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</si>
  <si>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</si>
  <si>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</si>
  <si>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</si>
  <si>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</si>
  <si>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</si>
  <si>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</si>
  <si>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</si>
  <si>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</si>
  <si>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</si>
  <si>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</si>
  <si>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</si>
  <si>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</si>
  <si>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</si>
  <si>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</si>
  <si>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</si>
  <si>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</si>
  <si>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</si>
  <si>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</si>
  <si>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</si>
  <si>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</si>
  <si>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</si>
  <si>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</si>
  <si>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</si>
  <si>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</si>
  <si>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</si>
  <si>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</si>
  <si>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</si>
  <si>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</si>
  <si>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</si>
  <si>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</si>
  <si>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</si>
  <si>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</si>
  <si>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</si>
  <si>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</si>
  <si>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</si>
  <si>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</si>
  <si>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</si>
  <si>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</si>
  <si>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</si>
  <si>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</si>
  <si>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</si>
  <si>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</si>
  <si>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</si>
  <si>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</si>
  <si>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</si>
  <si>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</si>
  <si>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</si>
  <si>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</si>
  <si>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</si>
  <si>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</si>
  <si>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</si>
  <si>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</si>
  <si>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</si>
  <si>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</si>
  <si>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</si>
  <si>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</si>
  <si>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</si>
  <si>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</si>
  <si>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</si>
  <si>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</si>
  <si>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</si>
  <si>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</si>
  <si>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</si>
  <si>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</si>
  <si>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</si>
  <si>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</si>
  <si>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</si>
  <si>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</si>
  <si>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</si>
  <si>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</si>
  <si>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</si>
  <si>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</si>
  <si>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</si>
  <si>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</si>
  <si>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</si>
  <si>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</si>
  <si>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</si>
  <si>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</si>
  <si>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</si>
  <si>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</si>
  <si>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</si>
  <si>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</si>
  <si>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</si>
  <si>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</si>
  <si>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</si>
  <si>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</si>
  <si>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</si>
  <si>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</si>
  <si>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</si>
  <si>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</si>
  <si>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</si>
  <si>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</si>
  <si>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</si>
  <si>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</si>
  <si>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</si>
  <si>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</si>
  <si>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</si>
  <si>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</si>
  <si>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</si>
  <si>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</si>
  <si>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</si>
  <si>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</si>
  <si>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</si>
  <si>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</si>
  <si>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</si>
  <si>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</si>
  <si>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</si>
  <si>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</si>
  <si>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</si>
  <si>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</si>
  <si>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</si>
  <si>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</si>
  <si>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</si>
  <si>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</si>
  <si>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</si>
  <si>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</si>
  <si>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</si>
  <si>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</si>
  <si>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</si>
  <si>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</si>
  <si>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</si>
  <si>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</si>
  <si>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</si>
  <si>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</si>
  <si>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</si>
  <si>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</si>
  <si>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</si>
  <si>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</si>
  <si>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</si>
  <si>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</si>
  <si>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</si>
  <si>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</si>
  <si>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</si>
  <si>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</si>
  <si>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</si>
  <si>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</si>
  <si>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</si>
  <si>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</si>
  <si>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</si>
  <si>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</si>
  <si>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</si>
  <si>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</si>
  <si>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</si>
  <si>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</si>
  <si>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</si>
  <si>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</si>
  <si>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</si>
  <si>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</si>
  <si>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</si>
  <si>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</si>
  <si>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</si>
  <si>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</si>
  <si>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</si>
  <si>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</si>
  <si>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</si>
  <si>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</si>
  <si>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</si>
  <si>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</si>
  <si>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</si>
  <si>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</si>
  <si>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</si>
  <si>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</si>
  <si>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</si>
  <si>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</si>
  <si>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</si>
  <si>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</si>
  <si>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</si>
  <si>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</si>
  <si>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</si>
  <si>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</si>
  <si>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</si>
  <si>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</si>
  <si>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</si>
  <si>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</si>
  <si>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</si>
  <si>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</si>
  <si>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</si>
  <si>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</si>
  <si>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</si>
  <si>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</si>
  <si>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</si>
  <si>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</si>
  <si>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</si>
  <si>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</si>
  <si>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</si>
  <si>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</si>
  <si>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</si>
  <si>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</si>
  <si>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</si>
  <si>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</si>
  <si>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</si>
  <si>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</si>
  <si>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</si>
  <si>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</si>
  <si>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</si>
  <si>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</si>
  <si>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</si>
  <si>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</si>
  <si>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</si>
  <si>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</si>
  <si>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</si>
  <si>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</si>
  <si>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</si>
  <si>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</si>
  <si>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</si>
  <si>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</si>
  <si>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</si>
  <si>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</si>
  <si>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</si>
  <si>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</si>
  <si>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</si>
  <si>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</si>
  <si>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</si>
  <si>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</si>
  <si>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</si>
  <si>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</si>
  <si>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</si>
  <si>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</si>
  <si>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</si>
  <si>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</si>
  <si>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</si>
  <si>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</si>
  <si>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</si>
  <si>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</si>
  <si>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</si>
  <si>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</si>
  <si>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</si>
  <si>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</si>
  <si>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</si>
  <si>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</si>
  <si>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</si>
  <si>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</si>
  <si>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</si>
  <si>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</si>
  <si>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</si>
  <si>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</si>
  <si>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</si>
  <si>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</si>
  <si>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</si>
  <si>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</si>
  <si>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</si>
  <si>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</si>
  <si>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</si>
  <si>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</si>
  <si>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</si>
  <si>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</si>
  <si>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</si>
  <si>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</si>
  <si>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</si>
  <si>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</si>
  <si>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</si>
  <si>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</si>
  <si>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</si>
  <si>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</si>
  <si>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</si>
  <si>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</si>
  <si>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</si>
  <si>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</si>
  <si>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</si>
  <si>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</si>
  <si>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</si>
  <si>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</si>
  <si>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</si>
  <si>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</si>
  <si>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</si>
  <si>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</si>
  <si>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</si>
  <si>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</si>
  <si>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</si>
  <si>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</si>
  <si>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</si>
  <si>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</si>
  <si>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</si>
  <si>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</si>
  <si>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</si>
  <si>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</si>
  <si>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</si>
  <si>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</si>
  <si>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</si>
  <si>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</si>
  <si>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</si>
  <si>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</si>
  <si>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</si>
  <si>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</si>
  <si>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</si>
  <si>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</si>
  <si>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</si>
  <si>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</si>
  <si>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</si>
  <si>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</si>
  <si>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</si>
  <si>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</si>
  <si>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</si>
  <si>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</si>
  <si>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</si>
  <si>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</si>
  <si>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</si>
  <si>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</si>
  <si>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</si>
  <si>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</si>
  <si>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</si>
  <si>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</si>
  <si>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</si>
  <si>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</si>
  <si>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</si>
  <si>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</si>
  <si>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</si>
  <si>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</si>
  <si>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</si>
  <si>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</si>
  <si>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</si>
  <si>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</si>
  <si>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</si>
  <si>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</si>
  <si>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</si>
  <si>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</si>
  <si>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</si>
  <si>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</si>
  <si>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</si>
  <si>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</si>
  <si>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</si>
  <si>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</si>
  <si>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</si>
  <si>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</si>
  <si>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</si>
  <si>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</si>
  <si>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</si>
  <si>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</si>
  <si>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</si>
  <si>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</si>
  <si>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</si>
  <si>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</si>
  <si>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</si>
  <si>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</si>
  <si>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</si>
  <si>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</si>
  <si>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</si>
  <si>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</si>
  <si>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</si>
  <si>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</si>
  <si>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</si>
  <si>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</si>
  <si>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</si>
  <si>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</si>
  <si>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</si>
  <si>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</si>
  <si>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</si>
  <si>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</si>
  <si>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</si>
  <si>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</si>
  <si>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</si>
  <si>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</si>
  <si>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</si>
  <si>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</si>
  <si>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</si>
  <si>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</si>
  <si>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</si>
  <si>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</si>
  <si>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</si>
  <si>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</si>
  <si>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</si>
  <si>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</si>
  <si>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</si>
  <si>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</si>
  <si>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</si>
  <si>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</si>
  <si>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</si>
  <si>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</si>
  <si>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</si>
  <si>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</si>
  <si>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</si>
  <si>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</si>
  <si>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</si>
  <si>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</si>
  <si>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</si>
  <si>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</si>
  <si>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</si>
  <si>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</si>
  <si>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</si>
  <si>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</si>
  <si>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</si>
  <si>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</si>
  <si>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</si>
  <si>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</si>
  <si>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</si>
  <si>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</si>
  <si>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</si>
  <si>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</si>
  <si>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</si>
  <si>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</si>
  <si>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</si>
  <si>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</si>
  <si>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</si>
  <si>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</si>
  <si>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</si>
  <si>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</si>
  <si>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</si>
  <si>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</si>
  <si>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</si>
  <si>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</si>
  <si>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</si>
  <si>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</si>
  <si>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</si>
  <si>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</si>
  <si>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</si>
  <si>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</si>
  <si>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</si>
  <si>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</si>
  <si>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</si>
  <si>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</si>
  <si>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</si>
  <si>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</si>
  <si>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</si>
  <si>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</si>
  <si>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</si>
  <si>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</si>
  <si>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</si>
  <si>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</si>
  <si>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</si>
  <si>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</si>
  <si>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</si>
  <si>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</si>
  <si>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</si>
  <si>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</si>
  <si>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</si>
  <si>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</si>
  <si>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</si>
  <si>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</si>
  <si>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</si>
  <si>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</si>
  <si>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</si>
  <si>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</si>
  <si>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</si>
  <si>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</si>
  <si>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</si>
  <si>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</si>
  <si>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</si>
  <si>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</si>
  <si>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</si>
  <si>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</si>
  <si>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</si>
  <si>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</si>
  <si>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</si>
  <si>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</si>
  <si>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</si>
  <si>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</si>
  <si>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</si>
  <si>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</si>
  <si>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</si>
  <si>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</si>
  <si>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</si>
  <si>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</si>
  <si>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</si>
  <si>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</si>
  <si>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</si>
  <si>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</si>
  <si>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</si>
  <si>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</si>
  <si>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</si>
  <si>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</si>
  <si>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</si>
  <si>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</si>
  <si>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</si>
  <si>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</si>
  <si>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</si>
  <si>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</si>
  <si>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</si>
  <si>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</si>
  <si>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</si>
  <si>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</si>
  <si>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</si>
  <si>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</si>
  <si>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</si>
  <si>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</si>
  <si>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</si>
  <si>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</si>
  <si>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</si>
  <si>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</si>
  <si>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</si>
  <si>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</si>
  <si>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</si>
  <si>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</si>
  <si>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</si>
  <si>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</si>
  <si>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</si>
  <si>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</si>
  <si>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</si>
  <si>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</si>
  <si>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</si>
  <si>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</si>
  <si>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</si>
  <si>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</si>
  <si>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</si>
  <si>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</si>
  <si>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</si>
  <si>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</si>
  <si>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</si>
  <si>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</si>
  <si>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</si>
  <si>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</si>
  <si>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</si>
  <si>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</si>
  <si>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</si>
  <si>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</si>
  <si>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</si>
  <si>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</si>
  <si>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</si>
  <si>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</si>
  <si>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</si>
  <si>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</si>
  <si>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</si>
  <si>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</si>
  <si>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</si>
  <si>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</si>
  <si>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</si>
  <si>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</si>
  <si>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</si>
  <si>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</si>
  <si>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</si>
  <si>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</si>
  <si>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</si>
  <si>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</si>
  <si>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</si>
  <si>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</si>
  <si>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</si>
  <si>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</si>
  <si>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</si>
  <si>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</si>
  <si>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</si>
  <si>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</si>
  <si>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</si>
  <si>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</si>
  <si>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</si>
  <si>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</si>
  <si>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</si>
  <si>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</si>
  <si>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</si>
  <si>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</si>
  <si>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</si>
  <si>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</si>
  <si>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</si>
  <si>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</si>
  <si>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</si>
  <si>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</si>
  <si>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</si>
  <si>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</si>
  <si>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</si>
  <si>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</si>
  <si>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</si>
  <si>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</si>
  <si>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</si>
  <si>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</si>
  <si>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</si>
  <si>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</si>
  <si>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</si>
  <si>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</si>
  <si>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</si>
  <si>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</si>
  <si>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</si>
  <si>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</si>
  <si>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</si>
  <si>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</si>
  <si>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</si>
  <si>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</si>
  <si>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</si>
  <si>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</si>
  <si>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</si>
  <si>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</si>
  <si>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</si>
  <si>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</si>
  <si>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</si>
  <si>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</si>
  <si>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</si>
  <si>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</si>
  <si>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</si>
  <si>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</si>
  <si>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</si>
  <si>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</si>
  <si>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</si>
  <si>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</si>
  <si>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</si>
  <si>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</si>
  <si>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</si>
  <si>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</si>
  <si>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</si>
  <si>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</si>
  <si>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</si>
  <si>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</si>
  <si>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</si>
  <si>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</si>
  <si>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</si>
  <si>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</si>
  <si>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</si>
  <si>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</si>
  <si>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</si>
  <si>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</si>
  <si>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</si>
  <si>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</si>
  <si>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</si>
  <si>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</si>
  <si>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</si>
  <si>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</si>
  <si>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</si>
  <si>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</si>
  <si>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</si>
  <si>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</si>
  <si>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</si>
  <si>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</si>
  <si>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</si>
  <si>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</si>
  <si>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</si>
  <si>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</si>
  <si>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</si>
  <si>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</si>
  <si>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</si>
  <si>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</si>
  <si>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</si>
  <si>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</si>
  <si>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</si>
  <si>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</si>
  <si>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</si>
  <si>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</si>
  <si>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</si>
  <si>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</si>
  <si>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</si>
  <si>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</si>
  <si>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</si>
  <si>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</si>
  <si>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</si>
  <si>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</si>
  <si>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</si>
  <si>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</si>
  <si>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</si>
  <si>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</si>
  <si>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</si>
  <si>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</si>
  <si>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</si>
  <si>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</si>
  <si>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</si>
  <si>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</si>
  <si>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</si>
  <si>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</si>
  <si>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</si>
  <si>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</si>
  <si>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</si>
  <si>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</si>
  <si>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</si>
  <si>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</si>
  <si>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</si>
  <si>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</si>
  <si>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</si>
  <si>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</si>
  <si>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</si>
  <si>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</si>
  <si>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</si>
  <si>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</si>
  <si>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</si>
  <si>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</si>
  <si>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</si>
  <si>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</si>
  <si>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</si>
  <si>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</si>
  <si>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</si>
  <si>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</si>
  <si>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</si>
  <si>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</si>
  <si>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</si>
  <si>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</si>
  <si>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</si>
  <si>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</si>
  <si>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</si>
  <si>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</si>
  <si>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</si>
  <si>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</si>
  <si>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</si>
  <si>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</si>
  <si>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</si>
  <si>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</si>
  <si>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</si>
  <si>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</si>
  <si>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</si>
  <si>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</si>
  <si>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</si>
  <si>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</si>
  <si>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</si>
  <si>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</si>
  <si>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</si>
  <si>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</si>
  <si>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</si>
  <si>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</si>
  <si>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</si>
  <si>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</si>
  <si>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</si>
  <si>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</si>
  <si>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</si>
  <si>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</si>
  <si>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</si>
  <si>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</si>
  <si>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</si>
  <si>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</si>
  <si>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</si>
  <si>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</si>
  <si>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</si>
  <si>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</si>
  <si>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</si>
  <si>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</si>
  <si>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</si>
  <si>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</si>
  <si>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</si>
  <si>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</si>
  <si>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</si>
  <si>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</si>
  <si>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</si>
  <si>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</si>
  <si>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</si>
  <si>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</si>
  <si>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</si>
  <si>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</si>
  <si>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</si>
  <si>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</si>
  <si>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</si>
  <si>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</si>
  <si>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</si>
  <si>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</si>
  <si>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</si>
  <si>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</si>
  <si>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</si>
  <si>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</si>
  <si>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</si>
  <si>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</si>
  <si>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</si>
  <si>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</si>
  <si>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</si>
  <si>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</si>
  <si>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</si>
  <si>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</si>
  <si>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</si>
  <si>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</si>
  <si>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</si>
  <si>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</si>
  <si>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</si>
  <si>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</si>
  <si>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</si>
  <si>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</si>
  <si>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</si>
  <si>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</si>
  <si>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</si>
  <si>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</si>
  <si>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</si>
  <si>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</si>
  <si>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</si>
  <si>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</si>
  <si>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</si>
  <si>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</si>
  <si>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</si>
  <si>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</si>
  <si>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</si>
  <si>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</si>
  <si>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</si>
  <si>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</si>
  <si>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</si>
  <si>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</si>
  <si>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</si>
  <si>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</si>
  <si>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</si>
  <si>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</si>
  <si>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</si>
  <si>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</si>
  <si>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</si>
  <si>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</si>
  <si>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</si>
  <si>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</si>
  <si>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</si>
  <si>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</si>
  <si>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</si>
  <si>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</si>
  <si>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</si>
  <si>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</si>
  <si>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</si>
  <si>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</si>
  <si>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</si>
  <si>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</si>
  <si>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</si>
  <si>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</si>
  <si>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</si>
  <si>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</si>
  <si>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</si>
  <si>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</si>
  <si>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</si>
  <si>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</si>
  <si>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</si>
  <si>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</si>
  <si>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</si>
  <si>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</si>
  <si>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</si>
  <si>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</si>
  <si>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</si>
  <si>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</si>
  <si>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</si>
  <si>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</si>
  <si>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</si>
  <si>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</si>
  <si>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</si>
  <si>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</si>
  <si>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</si>
  <si>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</si>
  <si>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</si>
  <si>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</si>
  <si>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</si>
  <si>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</si>
  <si>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</si>
  <si>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</si>
  <si>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</si>
  <si>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</si>
  <si>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</si>
  <si>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</si>
  <si>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</si>
  <si>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</si>
  <si>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</si>
  <si>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</si>
  <si>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</si>
  <si>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</si>
  <si>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</si>
  <si>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</si>
  <si>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</si>
  <si>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</si>
  <si>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</si>
  <si>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</si>
  <si>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</si>
  <si>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</si>
  <si>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</si>
  <si>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</si>
  <si>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</si>
  <si>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</si>
  <si>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</si>
  <si>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</si>
  <si>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</si>
  <si>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</si>
  <si>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</si>
  <si>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</si>
  <si>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</si>
  <si>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</si>
  <si>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</si>
  <si>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</si>
  <si>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</si>
  <si>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</si>
  <si>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</si>
  <si>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</si>
  <si>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</si>
  <si>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</si>
  <si>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</si>
  <si>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</si>
  <si>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</si>
  <si>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</si>
  <si>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</si>
  <si>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</si>
  <si>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</si>
  <si>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</si>
  <si>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</si>
  <si>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</si>
  <si>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</si>
  <si>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</si>
  <si>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</si>
  <si>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</si>
  <si>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</si>
  <si>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</si>
  <si>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</si>
  <si>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</si>
  <si>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</si>
  <si>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</si>
  <si>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</si>
  <si>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</si>
  <si>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</si>
  <si>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</si>
  <si>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</si>
  <si>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</si>
  <si>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</si>
  <si>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</si>
  <si>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</si>
  <si>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</si>
  <si>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</si>
  <si>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</si>
  <si>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</si>
  <si>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</si>
  <si>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</si>
  <si>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</si>
  <si>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</si>
  <si>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</si>
  <si>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</si>
  <si>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</si>
  <si>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</si>
  <si>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</si>
  <si>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</si>
  <si>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</si>
  <si>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</si>
  <si>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</si>
  <si>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</si>
  <si>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</si>
  <si>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</si>
  <si>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</si>
  <si>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</si>
  <si>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</si>
  <si>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</si>
  <si>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</si>
  <si>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</si>
  <si>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</si>
  <si>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</si>
  <si>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</si>
  <si>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</si>
  <si>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</si>
  <si>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</si>
  <si>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</si>
  <si>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</si>
  <si>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</si>
  <si>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</si>
  <si>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</si>
  <si>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</si>
  <si>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</si>
  <si>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</si>
  <si>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</si>
  <si>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</si>
  <si>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</si>
  <si>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</si>
  <si>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</si>
  <si>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</si>
  <si>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</si>
  <si>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</si>
  <si>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</si>
  <si>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</si>
  <si>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</si>
  <si>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</si>
  <si>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</si>
  <si>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</si>
  <si>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</si>
  <si>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</si>
  <si>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</si>
  <si>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</si>
  <si>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</si>
  <si>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</si>
  <si>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</si>
  <si>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</si>
  <si>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</si>
  <si>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</si>
  <si>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</si>
  <si>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</si>
  <si>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</si>
  <si>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</si>
  <si>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</si>
  <si>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</si>
  <si>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</si>
  <si>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</si>
  <si>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</si>
  <si>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</si>
  <si>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</si>
  <si>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</si>
  <si>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</si>
  <si>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</si>
  <si>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</si>
  <si>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</si>
  <si>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</si>
  <si>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</si>
  <si>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</si>
  <si>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</si>
  <si>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</si>
  <si>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</si>
  <si>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</si>
  <si>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</si>
  <si>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</si>
  <si>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</si>
  <si>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</si>
  <si>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</si>
  <si>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</si>
  <si>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</si>
  <si>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</si>
  <si>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</si>
  <si>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</si>
  <si>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</si>
  <si>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</si>
  <si>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</si>
  <si>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</si>
  <si>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</si>
  <si>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</si>
  <si>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</si>
  <si>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</si>
  <si>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</si>
  <si>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</si>
  <si>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</si>
  <si>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</si>
  <si>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</si>
  <si>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</si>
  <si>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</si>
  <si>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</si>
  <si>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</si>
  <si>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</si>
  <si>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</si>
  <si>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</si>
  <si>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</si>
  <si>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</si>
  <si>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</si>
  <si>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</si>
  <si>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</si>
  <si>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</si>
  <si>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</si>
  <si>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</si>
  <si>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</si>
  <si>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</si>
  <si>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</si>
  <si>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</si>
  <si>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</si>
  <si>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</si>
  <si>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</si>
  <si>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</si>
  <si>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</si>
  <si>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</si>
  <si>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</si>
  <si>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</si>
  <si>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</si>
  <si>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</si>
  <si>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</si>
  <si>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</si>
  <si>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</si>
  <si>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</si>
  <si>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</si>
  <si>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</si>
  <si>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</si>
  <si>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</si>
  <si>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</si>
  <si>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</si>
  <si>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</si>
  <si>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</si>
  <si>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</si>
  <si>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</si>
  <si>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</si>
  <si>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</si>
  <si>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</si>
  <si>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</si>
  <si>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</si>
  <si>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</si>
  <si>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</si>
  <si>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</si>
  <si>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</si>
  <si>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</si>
  <si>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</si>
  <si>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</si>
  <si>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</si>
  <si>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</si>
  <si>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</si>
  <si>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</si>
  <si>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</si>
  <si>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</si>
  <si>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</si>
  <si>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</si>
  <si>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</si>
  <si>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</si>
  <si>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</si>
  <si>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</si>
  <si>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</si>
  <si>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</si>
  <si>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</si>
  <si>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</si>
  <si>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</si>
  <si>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</si>
  <si>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</si>
  <si>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</si>
  <si>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</si>
  <si>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</si>
  <si>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</si>
  <si>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</si>
  <si>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</si>
  <si>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</si>
  <si>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</si>
  <si>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</si>
  <si>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</si>
  <si>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</si>
  <si>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</si>
  <si>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</si>
  <si>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</si>
  <si>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</si>
  <si>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</si>
  <si>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</si>
  <si>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</si>
  <si>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</si>
  <si>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</si>
  <si>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</si>
  <si>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</si>
  <si>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</si>
  <si>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</si>
  <si>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</si>
  <si>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</si>
  <si>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</si>
  <si>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</si>
  <si>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</si>
  <si>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</si>
  <si>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</si>
  <si>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</si>
  <si>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</si>
  <si>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</si>
  <si>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</si>
  <si>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</si>
  <si>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</si>
  <si>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</si>
  <si>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</si>
  <si>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</si>
  <si>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</si>
  <si>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</si>
  <si>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</si>
  <si>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</si>
  <si>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</si>
  <si>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</si>
  <si>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</si>
  <si>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</si>
  <si>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</si>
  <si>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</si>
  <si>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</si>
  <si>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</si>
  <si>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</si>
  <si>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</si>
  <si>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</si>
  <si>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</si>
  <si>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</si>
  <si>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</si>
  <si>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</si>
  <si>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</si>
  <si>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</si>
  <si>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</si>
  <si>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</si>
  <si>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</si>
  <si>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</si>
  <si>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</si>
  <si>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</si>
  <si>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</si>
  <si>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</si>
  <si>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</si>
  <si>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</si>
  <si>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</si>
  <si>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</si>
  <si>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</si>
  <si>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</si>
  <si>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</si>
  <si>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</si>
  <si>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</si>
  <si>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</si>
  <si>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</si>
  <si>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</si>
  <si>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</si>
  <si>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</si>
  <si>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</si>
  <si>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</si>
  <si>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</si>
  <si>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</si>
  <si>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</si>
  <si>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</si>
  <si>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</si>
  <si>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</si>
  <si>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</si>
  <si>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</si>
  <si>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</si>
  <si>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</si>
  <si>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</si>
  <si>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</si>
  <si>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</si>
  <si>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</si>
  <si>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</si>
  <si>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</si>
  <si>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</si>
  <si>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</si>
  <si>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</si>
  <si>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</si>
  <si>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</si>
  <si>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</si>
  <si>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</si>
  <si>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</si>
  <si>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</si>
  <si>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</si>
  <si>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</si>
  <si>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</si>
  <si>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</si>
  <si>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</si>
  <si>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</si>
  <si>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</si>
  <si>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</si>
  <si>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</si>
  <si>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</si>
  <si>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</si>
  <si>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</si>
  <si>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</si>
  <si>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</si>
  <si>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</si>
  <si>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</si>
  <si>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</si>
  <si>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</si>
  <si>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</si>
  <si>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</si>
  <si>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</si>
  <si>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</si>
  <si>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</si>
  <si>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</si>
  <si>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</si>
  <si>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</si>
  <si>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</si>
  <si>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</si>
  <si>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</si>
  <si>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</si>
  <si>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</si>
  <si>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</si>
  <si>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</si>
  <si>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</si>
  <si>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</si>
  <si>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</si>
  <si>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</si>
  <si>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</si>
  <si>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</si>
  <si>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</si>
  <si>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</si>
  <si>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</si>
  <si>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</si>
  <si>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</si>
  <si>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</si>
  <si>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</si>
  <si>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</si>
  <si>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</si>
  <si>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</si>
  <si>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</si>
  <si>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</si>
  <si>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</si>
  <si>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</si>
  <si>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</si>
  <si>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</si>
  <si>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</si>
  <si>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</si>
  <si>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</si>
  <si>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</si>
  <si>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</si>
  <si>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</si>
  <si>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</si>
  <si>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</si>
  <si>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</si>
  <si>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</si>
  <si>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</si>
  <si>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</si>
  <si>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</si>
  <si>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</si>
  <si>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</si>
  <si>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</si>
  <si>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</si>
  <si>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</si>
  <si>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</si>
  <si>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</si>
  <si>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</si>
  <si>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</si>
  <si>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</si>
  <si>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</si>
  <si>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</si>
  <si>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</si>
  <si>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</si>
  <si>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</si>
  <si>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</si>
  <si>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</si>
  <si>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</si>
  <si>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</si>
  <si>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</si>
  <si>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</si>
  <si>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</si>
  <si>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</si>
  <si>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</si>
  <si>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</si>
  <si>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</si>
  <si>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</si>
  <si>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</si>
  <si>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</si>
  <si>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</si>
  <si>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</si>
  <si>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</si>
  <si>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</si>
  <si>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</si>
  <si>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</si>
  <si>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</si>
  <si>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</si>
  <si>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</si>
  <si>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</si>
  <si>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</si>
  <si>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</si>
  <si>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</si>
  <si>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</si>
  <si>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</si>
  <si>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</si>
  <si>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</si>
  <si>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</si>
  <si>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</si>
  <si>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</si>
  <si>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</si>
  <si>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</si>
  <si>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</si>
  <si>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</si>
  <si>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</si>
  <si>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</si>
  <si>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</si>
  <si>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</si>
  <si>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</si>
  <si>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</si>
  <si>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</si>
  <si>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</si>
  <si>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</si>
  <si>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</si>
  <si>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</si>
  <si>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</si>
  <si>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</si>
  <si>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</si>
  <si>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</si>
  <si>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</si>
  <si>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</si>
  <si>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</si>
  <si>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</si>
  <si>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</si>
  <si>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</si>
  <si>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</si>
  <si>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</si>
  <si>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</si>
  <si>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</si>
  <si>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</si>
  <si>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</si>
  <si>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</si>
  <si>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</si>
  <si>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</si>
  <si>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</si>
  <si>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</si>
  <si>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</si>
  <si>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</si>
  <si>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</si>
  <si>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</si>
  <si>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</si>
  <si>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</si>
  <si>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</si>
  <si>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</si>
  <si>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</si>
  <si>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</si>
  <si>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</si>
  <si>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</si>
  <si>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</si>
  <si>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</si>
  <si>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</si>
  <si>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</si>
  <si>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</si>
  <si>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</si>
  <si>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</si>
  <si>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</si>
  <si>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</si>
  <si>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</si>
  <si>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</si>
  <si>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</si>
  <si>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</si>
  <si>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</si>
  <si>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</si>
  <si>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</si>
  <si>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</si>
  <si>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</si>
  <si>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</si>
  <si>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</si>
  <si>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</si>
  <si>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</si>
  <si>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</si>
  <si>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</si>
  <si>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</si>
  <si>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</si>
  <si>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</si>
  <si>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</si>
  <si>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</si>
  <si>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</si>
  <si>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</si>
  <si>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</si>
  <si>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</si>
  <si>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</si>
  <si>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</si>
  <si>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</si>
  <si>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</si>
  <si>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</si>
  <si>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</si>
  <si>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</si>
  <si>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</si>
  <si>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</si>
  <si>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</si>
  <si>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</si>
  <si>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</si>
  <si>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</si>
  <si>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</si>
  <si>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</si>
  <si>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</si>
  <si>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</si>
  <si>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</si>
  <si>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</si>
  <si>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</si>
  <si>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</si>
  <si>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</si>
  <si>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</si>
  <si>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</si>
  <si>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</si>
  <si>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</si>
  <si>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</si>
  <si>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</si>
  <si>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</si>
  <si>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</si>
  <si>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</si>
  <si>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</si>
  <si>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</si>
  <si>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</si>
  <si>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</si>
  <si>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</si>
  <si>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</si>
  <si>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</si>
  <si>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</si>
  <si>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</si>
  <si>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</si>
  <si>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</si>
  <si>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</si>
  <si>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</si>
  <si>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</si>
  <si>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</si>
  <si>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</si>
  <si>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</si>
  <si>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</si>
  <si>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</si>
  <si>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</si>
  <si>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</si>
  <si>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</si>
  <si>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</si>
  <si>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</si>
  <si>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</si>
  <si>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</si>
  <si>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</si>
  <si>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</si>
  <si>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</si>
  <si>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</si>
  <si>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</si>
  <si>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</si>
  <si>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</si>
  <si>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</si>
  <si>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</si>
  <si>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</si>
  <si>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</si>
  <si>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</si>
  <si>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</si>
  <si>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</si>
  <si>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</si>
  <si>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</si>
  <si>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</si>
  <si>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</si>
  <si>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</si>
  <si>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</si>
  <si>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</si>
  <si>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</si>
  <si>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</si>
  <si>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</si>
  <si>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</si>
  <si>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</si>
  <si>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</si>
  <si>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</si>
  <si>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</si>
  <si>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</si>
  <si>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</si>
  <si>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</si>
  <si>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</si>
  <si>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</si>
  <si>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</si>
  <si>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</si>
  <si>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</si>
  <si>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</si>
  <si>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</si>
  <si>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</si>
  <si>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</si>
  <si>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</si>
  <si>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</si>
  <si>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</si>
  <si>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</si>
  <si>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</si>
  <si>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</si>
  <si>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</si>
  <si>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</si>
  <si>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</si>
  <si>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</si>
  <si>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</si>
  <si>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</si>
  <si>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</si>
  <si>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</si>
  <si>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</si>
  <si>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</si>
  <si>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</si>
  <si>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</si>
  <si>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</si>
  <si>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</si>
  <si>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</si>
  <si>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</si>
  <si>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</si>
  <si>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</si>
  <si>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</si>
  <si>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</si>
  <si>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</si>
  <si>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</si>
  <si>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</si>
  <si>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</si>
  <si>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</si>
  <si>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</si>
  <si>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</si>
  <si>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</si>
  <si>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</si>
  <si>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</si>
  <si>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</si>
  <si>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</si>
  <si>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</si>
  <si>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</si>
  <si>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</si>
  <si>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</si>
  <si>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</si>
  <si>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</si>
  <si>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</si>
  <si>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</si>
  <si>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</si>
  <si>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</si>
  <si>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</si>
  <si>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</si>
  <si>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</si>
  <si>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</si>
  <si>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</si>
  <si>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</si>
  <si>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</si>
  <si>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</si>
  <si>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</si>
  <si>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</si>
  <si>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</si>
  <si>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</si>
  <si>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</si>
  <si>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</si>
  <si>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</si>
  <si>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</si>
  <si>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</si>
  <si>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</si>
  <si>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</si>
  <si>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</si>
  <si>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</si>
  <si>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</si>
  <si>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</si>
  <si>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</si>
  <si>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</si>
  <si>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</si>
  <si>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</si>
  <si>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</si>
  <si>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</si>
  <si>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</si>
  <si>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</si>
  <si>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</si>
  <si>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</si>
  <si>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</si>
  <si>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</si>
  <si>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</si>
  <si>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</si>
  <si>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</si>
  <si>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</si>
  <si>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</si>
  <si>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</si>
  <si>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</si>
  <si>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</si>
  <si>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</si>
  <si>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</si>
  <si>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</si>
  <si>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</si>
  <si>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</si>
  <si>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</si>
  <si>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</si>
  <si>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</si>
  <si>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</si>
  <si>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</si>
  <si>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</si>
  <si>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</si>
  <si>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</si>
  <si>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</si>
  <si>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</si>
  <si>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</si>
  <si>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</si>
  <si>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</si>
  <si>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</si>
  <si>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</si>
  <si>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</si>
  <si>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</si>
  <si>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</si>
  <si>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</si>
  <si>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</si>
  <si>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</si>
  <si>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</si>
  <si>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</si>
  <si>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</si>
  <si>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</si>
  <si>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</si>
  <si>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</si>
  <si>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</si>
  <si>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</si>
  <si>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</si>
  <si>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</si>
  <si>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</si>
  <si>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</si>
  <si>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</si>
  <si>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</si>
  <si>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</si>
  <si>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</si>
  <si>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</si>
  <si>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</si>
  <si>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</si>
  <si>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</si>
  <si>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</si>
  <si>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</si>
  <si>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</si>
  <si>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</si>
  <si>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</si>
  <si>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</si>
  <si>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</si>
  <si>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</si>
  <si>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</si>
  <si>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</si>
  <si>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</si>
  <si>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</si>
  <si>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</si>
  <si>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</si>
  <si>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</si>
  <si>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</si>
  <si>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</si>
  <si>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</si>
  <si>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</si>
  <si>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</si>
  <si>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</si>
  <si>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</si>
  <si>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</si>
  <si>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</si>
  <si>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</si>
  <si>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</si>
  <si>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</si>
  <si>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</si>
  <si>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</si>
  <si>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</si>
  <si>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</si>
  <si>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</si>
  <si>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</si>
  <si>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</si>
  <si>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</si>
  <si>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</si>
  <si>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</si>
  <si>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</si>
  <si>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</si>
  <si>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</si>
  <si>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</si>
  <si>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</si>
  <si>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</si>
  <si>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</si>
  <si>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</si>
  <si>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</si>
  <si>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</si>
  <si>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</si>
  <si>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</si>
  <si>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</si>
  <si>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</si>
  <si>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</si>
  <si>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</si>
  <si>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</si>
  <si>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</si>
  <si>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</si>
  <si>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</si>
  <si>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</si>
  <si>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</si>
  <si>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</si>
  <si>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</si>
  <si>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</si>
  <si>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</si>
  <si>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</si>
  <si>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</si>
  <si>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</si>
  <si>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</si>
  <si>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</si>
  <si>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</si>
  <si>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</si>
  <si>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</si>
  <si>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</si>
  <si>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</si>
  <si>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</si>
  <si>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</si>
  <si>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</si>
  <si>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</si>
  <si>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</si>
  <si>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</si>
  <si>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</si>
  <si>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</si>
  <si>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</si>
  <si>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</si>
  <si>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</si>
  <si>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</si>
  <si>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</si>
  <si>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</si>
  <si>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</si>
  <si>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</si>
  <si>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</si>
  <si>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</si>
  <si>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</si>
  <si>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</si>
  <si>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</si>
  <si>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</si>
  <si>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</si>
  <si>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</si>
  <si>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</si>
  <si>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</si>
  <si>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</si>
  <si>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</si>
  <si>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</si>
  <si>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</si>
  <si>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</si>
  <si>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</si>
  <si>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</si>
  <si>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</si>
  <si>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</si>
  <si>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</si>
  <si>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</si>
  <si>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</si>
  <si>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</si>
  <si>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</si>
  <si>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</si>
  <si>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</si>
  <si>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</si>
  <si>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</si>
  <si>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</si>
  <si>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</si>
  <si>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</si>
  <si>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</si>
  <si>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</si>
  <si>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</si>
  <si>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</si>
  <si>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</si>
  <si>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</si>
  <si>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</si>
  <si>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</si>
  <si>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</si>
  <si>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</si>
  <si>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</si>
  <si>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</si>
  <si>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</si>
  <si>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</si>
  <si>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</si>
  <si>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</si>
  <si>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</si>
  <si>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</si>
  <si>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</si>
  <si>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</si>
  <si>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</si>
  <si>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</si>
  <si>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</si>
  <si>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</si>
  <si>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</si>
  <si>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</si>
  <si>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</si>
  <si>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</si>
  <si>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</si>
  <si>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</si>
  <si>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</si>
  <si>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</si>
  <si>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</si>
  <si>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</si>
  <si>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</si>
  <si>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</si>
  <si>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</si>
  <si>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</si>
  <si>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</si>
  <si>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</si>
  <si>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</si>
  <si>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</si>
  <si>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</si>
  <si>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</si>
  <si>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</si>
  <si>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</si>
  <si>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</si>
  <si>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</si>
  <si>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</si>
  <si>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</si>
  <si>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</si>
  <si>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</si>
  <si>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</si>
  <si>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</si>
  <si>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</si>
  <si>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</si>
  <si>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</si>
  <si>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</si>
  <si>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</si>
  <si>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</si>
  <si>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</si>
  <si>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</si>
  <si>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</si>
  <si>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</si>
  <si>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</si>
  <si>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</si>
  <si>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</si>
  <si>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</si>
  <si>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</si>
  <si>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</si>
  <si>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</si>
  <si>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</si>
  <si>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</si>
  <si>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</si>
  <si>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</si>
  <si>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</si>
  <si>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</si>
  <si>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</si>
  <si>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</si>
  <si>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</si>
  <si>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</si>
  <si>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</si>
  <si>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</si>
  <si>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</si>
  <si>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</si>
  <si>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</si>
  <si>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</si>
  <si>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</si>
  <si>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</si>
  <si>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</si>
  <si>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</si>
  <si>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</si>
  <si>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</si>
  <si>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</si>
  <si>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</si>
  <si>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</si>
  <si>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</si>
  <si>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</si>
  <si>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</si>
  <si>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</si>
  <si>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</si>
  <si>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</si>
  <si>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</si>
  <si>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</si>
  <si>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</si>
  <si>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</si>
  <si>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</si>
  <si>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</si>
  <si>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</si>
  <si>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</si>
  <si>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</si>
  <si>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</si>
  <si>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</si>
  <si>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</si>
  <si>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</si>
  <si>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</si>
  <si>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</si>
  <si>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</si>
  <si>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</si>
  <si>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</si>
  <si>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</si>
  <si>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</si>
  <si>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</si>
  <si>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</si>
  <si>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</si>
  <si>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</si>
  <si>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</si>
  <si>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</si>
  <si>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</si>
  <si>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</si>
  <si>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</si>
  <si>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</si>
  <si>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</si>
  <si>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</si>
  <si>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</si>
  <si>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</si>
  <si>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</si>
  <si>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</si>
  <si>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</si>
  <si>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</si>
  <si>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</si>
  <si>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</si>
  <si>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</si>
  <si>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</si>
  <si>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</si>
  <si>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</si>
  <si>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</si>
  <si>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</si>
  <si>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</si>
  <si>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</si>
  <si>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</si>
  <si>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</si>
  <si>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</si>
  <si>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</si>
  <si>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</si>
  <si>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</si>
  <si>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</si>
  <si>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</si>
  <si>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</si>
  <si>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</si>
  <si>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</si>
  <si>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</si>
  <si>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</si>
  <si>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</si>
  <si>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</si>
  <si>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</si>
  <si>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</si>
  <si>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</si>
  <si>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</si>
  <si>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</si>
  <si>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</si>
  <si>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</si>
  <si>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</si>
  <si>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</si>
  <si>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</si>
  <si>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</si>
  <si>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</si>
  <si>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</si>
  <si>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</si>
  <si>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</si>
  <si>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</si>
  <si>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</si>
  <si>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</si>
  <si>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</si>
  <si>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</si>
  <si>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</si>
  <si>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</si>
  <si>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</si>
  <si>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</si>
  <si>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</si>
  <si>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</si>
  <si>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</si>
  <si>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</si>
  <si>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</si>
  <si>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</si>
  <si>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</si>
  <si>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</si>
  <si>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</si>
  <si>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</si>
  <si>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</si>
  <si>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</si>
  <si>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</si>
  <si>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</si>
  <si>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</si>
  <si>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</si>
  <si>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</si>
  <si>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</si>
  <si>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</si>
  <si>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</si>
  <si>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</si>
  <si>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</si>
  <si>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</si>
  <si>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</si>
  <si>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</si>
  <si>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</si>
  <si>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</si>
  <si>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</si>
  <si>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</si>
  <si>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</si>
  <si>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</si>
  <si>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</si>
  <si>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</si>
  <si>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</si>
  <si>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</si>
  <si>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</si>
  <si>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</si>
  <si>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</si>
  <si>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</si>
  <si>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</si>
  <si>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</si>
  <si>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</si>
  <si>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</si>
  <si>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</si>
  <si>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</si>
  <si>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</si>
  <si>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</si>
  <si>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</si>
  <si>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</si>
  <si>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</si>
  <si>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</si>
  <si>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</si>
  <si>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</si>
  <si>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</si>
  <si>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</si>
  <si>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</si>
  <si>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</si>
  <si>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</si>
  <si>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</si>
  <si>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</si>
  <si>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</si>
  <si>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</si>
  <si>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</si>
  <si>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</si>
  <si>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</si>
  <si>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</si>
  <si>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</si>
  <si>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</si>
  <si>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</si>
  <si>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</si>
  <si>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</si>
  <si>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</si>
  <si>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</si>
  <si>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</si>
  <si>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</si>
  <si>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</si>
  <si>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</si>
  <si>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</si>
  <si>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</si>
  <si>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</si>
  <si>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</si>
  <si>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</si>
  <si>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</si>
  <si>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</si>
  <si>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</si>
  <si>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</si>
  <si>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</si>
  <si>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</si>
  <si>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</si>
  <si>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</si>
  <si>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</si>
  <si>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</si>
  <si>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</si>
  <si>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</si>
  <si>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</si>
  <si>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</si>
  <si>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</si>
  <si>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</si>
  <si>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</si>
  <si>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</si>
  <si>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</si>
  <si>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</si>
  <si>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</si>
  <si>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</si>
  <si>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</si>
  <si>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</si>
  <si>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</si>
  <si>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</si>
  <si>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</si>
  <si>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</si>
  <si>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</si>
  <si>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</si>
  <si>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</si>
  <si>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</si>
  <si>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</si>
  <si>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</si>
  <si>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</si>
  <si>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</si>
  <si>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</si>
  <si>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</si>
  <si>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</si>
  <si>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</si>
  <si>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</si>
  <si>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</si>
  <si>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</si>
  <si>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</si>
  <si>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</si>
  <si>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</si>
  <si>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</si>
  <si>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</si>
  <si>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</si>
  <si>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</si>
  <si>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</si>
  <si>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</si>
  <si>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</si>
  <si>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</si>
  <si>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</si>
  <si>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</si>
  <si>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</si>
  <si>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</si>
  <si>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</si>
  <si>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</si>
  <si>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</si>
  <si>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</si>
  <si>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</si>
  <si>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</si>
  <si>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</si>
  <si>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</si>
  <si>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</si>
  <si>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</si>
  <si>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</si>
  <si>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</si>
  <si>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</si>
  <si>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</si>
  <si>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</si>
  <si>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</si>
  <si>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</si>
  <si>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</si>
  <si>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</si>
  <si>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</si>
  <si>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</si>
  <si>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</si>
  <si>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</si>
  <si>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</si>
  <si>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</si>
  <si>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</si>
  <si>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</si>
  <si>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</si>
  <si>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</si>
  <si>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</si>
  <si>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</si>
  <si>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</si>
  <si>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</si>
  <si>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</si>
  <si>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</si>
  <si>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</si>
  <si>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</si>
  <si>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</si>
  <si>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</si>
  <si>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</si>
  <si>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</si>
  <si>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</si>
  <si>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</si>
  <si>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</si>
  <si>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</si>
  <si>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</si>
  <si>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</si>
  <si>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</si>
  <si>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</si>
  <si>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</si>
  <si>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</si>
  <si>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</si>
  <si>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</si>
  <si>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</si>
  <si>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</si>
  <si>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</si>
  <si>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</si>
  <si>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</si>
  <si>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</si>
  <si>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</si>
  <si>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</si>
  <si>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</si>
  <si>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</si>
  <si>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</si>
  <si>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</si>
  <si>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</si>
  <si>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</si>
  <si>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</si>
  <si>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</si>
  <si>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</si>
  <si>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</si>
  <si>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</si>
  <si>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</si>
  <si>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</si>
  <si>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</si>
  <si>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</si>
  <si>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</si>
  <si>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</si>
  <si>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</si>
  <si>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</si>
  <si>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</si>
  <si>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</si>
  <si>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</si>
  <si>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</si>
  <si>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</si>
  <si>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</si>
  <si>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</si>
  <si>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</si>
  <si>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</si>
  <si>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</si>
  <si>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</si>
  <si>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</si>
  <si>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</si>
  <si>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</si>
  <si>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</si>
  <si>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</si>
  <si>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</si>
  <si>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</si>
  <si>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</si>
  <si>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</si>
  <si>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</si>
  <si>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</si>
  <si>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</si>
  <si>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</si>
  <si>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</si>
  <si>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</si>
  <si>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</si>
  <si>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</si>
  <si>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</si>
  <si>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</si>
  <si>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</si>
  <si>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</si>
  <si>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</si>
  <si>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</si>
  <si>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</si>
  <si>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</si>
  <si>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</si>
  <si>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</si>
  <si>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</si>
  <si>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</si>
  <si>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</si>
  <si>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</si>
  <si>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Du-Co Ceramics Company</t>
  </si>
  <si>
    <t>155 S. Rebecca St. Saxonburg, PA 16056</t>
  </si>
  <si>
    <t>Desiree Geibel</t>
  </si>
  <si>
    <t>dgeibel@du-co.com</t>
  </si>
  <si>
    <t>724-352-1511</t>
  </si>
  <si>
    <t>Michael Crytzer</t>
  </si>
  <si>
    <t>VP Operations</t>
  </si>
  <si>
    <t>mcrytzer@du-co.com</t>
  </si>
  <si>
    <t>100%</t>
  </si>
  <si>
    <t>All Metalized Ceramics.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</si>
</sst>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2">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75">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2383881</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1808306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dgeibel@du-co.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mcrytzer@du-co.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1"/>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9" sqref="B59"/>
    </sheetView>
  </sheetViews>
  <sheetFormatPr defaultColWidth="9" defaultRowHeight="12.6"/>
  <cols>
    <col min="1" max="1" width="0.81640625" customWidth="1"/>
    <col min="2" max="2" width="8" customWidth="1"/>
    <col min="3" max="3" width="8.6328125" customWidth="1"/>
    <col min="4" max="4" width="13" style="180" customWidth="1"/>
    <col min="5" max="5" width="42.36328125" customWidth="1"/>
    <col min="6" max="6" width="53.36328125" customWidth="1"/>
    <col min="7" max="7" width="0.81640625" customWidth="1"/>
  </cols>
  <sheetData>
    <row r="1" spans="1:7" ht="13.2" thickTop="1">
      <c r="A1" s="7"/>
      <c r="B1" s="8"/>
      <c r="C1" s="8"/>
      <c r="D1" s="174"/>
      <c r="E1" s="8"/>
      <c r="F1" s="8"/>
      <c r="G1" s="9"/>
    </row>
    <row r="2" spans="1:7">
      <c r="A2" s="308"/>
      <c r="B2" s="5" t="s">
        <v>818</v>
      </c>
      <c r="C2" s="3"/>
      <c r="D2" s="175"/>
      <c r="E2" s="3"/>
      <c r="F2" s="3"/>
      <c r="G2" s="25"/>
    </row>
    <row r="3" spans="1:7">
      <c r="A3" s="308"/>
      <c r="B3" s="3" t="s">
        <v>811</v>
      </c>
      <c r="C3" s="5"/>
      <c r="D3" s="176"/>
      <c r="E3" s="3"/>
      <c r="F3" s="5"/>
      <c r="G3" s="25"/>
    </row>
    <row r="4" spans="1:7" ht="15">
      <c r="A4" s="308"/>
      <c r="B4" s="30" t="s">
        <v>820</v>
      </c>
      <c r="C4" s="6"/>
      <c r="D4" s="177"/>
      <c r="E4" s="3"/>
      <c r="F4" s="6"/>
      <c r="G4" s="25"/>
    </row>
    <row r="5" spans="1:7" ht="13.2">
      <c r="A5" s="308"/>
      <c r="B5" s="29" t="s">
        <v>1009</v>
      </c>
      <c r="C5" s="4"/>
      <c r="D5" s="178"/>
      <c r="E5" s="3"/>
      <c r="F5" s="4"/>
      <c r="G5" s="25"/>
    </row>
    <row r="6" spans="1:7">
      <c r="A6" s="308"/>
      <c r="B6" s="3"/>
      <c r="C6" s="3"/>
      <c r="D6" s="175"/>
      <c r="E6" s="3"/>
      <c r="F6" s="3"/>
      <c r="G6" s="25"/>
    </row>
    <row r="7" spans="1:7">
      <c r="A7" s="308"/>
      <c r="B7" s="3"/>
      <c r="C7" s="3"/>
      <c r="D7" s="175"/>
      <c r="E7" s="3"/>
      <c r="F7" s="3"/>
      <c r="G7" s="25"/>
    </row>
    <row r="8" spans="1:7">
      <c r="A8" s="308"/>
      <c r="B8" s="3"/>
      <c r="C8" s="3"/>
      <c r="D8" s="175"/>
      <c r="E8" s="3"/>
      <c r="F8" s="3"/>
      <c r="G8" s="25"/>
    </row>
    <row r="9" spans="1:7">
      <c r="A9" s="308"/>
      <c r="B9" s="311" t="s">
        <v>821</v>
      </c>
      <c r="C9" s="311"/>
      <c r="D9" s="311"/>
      <c r="E9" s="311"/>
      <c r="F9" s="311"/>
      <c r="G9" s="25"/>
    </row>
    <row r="10" spans="1:7" ht="27" customHeight="1">
      <c r="A10" s="308"/>
      <c r="B10" s="312" t="s">
        <v>425</v>
      </c>
      <c r="C10" s="312"/>
      <c r="D10" s="312"/>
      <c r="E10" s="312"/>
      <c r="F10" s="312"/>
      <c r="G10" s="25"/>
    </row>
    <row r="11" spans="1:7" ht="27" customHeight="1">
      <c r="A11" s="308"/>
      <c r="B11" s="313"/>
      <c r="C11" s="313"/>
      <c r="D11" s="313"/>
      <c r="E11" s="313"/>
      <c r="F11" s="313"/>
      <c r="G11" s="25"/>
    </row>
    <row r="12" spans="1:7">
      <c r="A12" s="308"/>
      <c r="B12" s="31" t="s">
        <v>819</v>
      </c>
      <c r="C12" s="32" t="s">
        <v>822</v>
      </c>
      <c r="D12" s="179" t="s">
        <v>823</v>
      </c>
      <c r="E12" s="32" t="s">
        <v>595</v>
      </c>
      <c r="F12" s="32" t="s">
        <v>596</v>
      </c>
      <c r="G12" s="25"/>
    </row>
    <row r="13" spans="1:7" ht="20.399999999999999">
      <c r="A13" s="308"/>
      <c r="B13" s="2">
        <v>1</v>
      </c>
      <c r="C13" s="27" t="s">
        <v>1057</v>
      </c>
      <c r="D13" s="28" t="s">
        <v>847</v>
      </c>
      <c r="E13" s="163" t="s">
        <v>824</v>
      </c>
      <c r="F13" s="163"/>
      <c r="G13" s="25"/>
    </row>
    <row r="14" spans="1:7" ht="30.6">
      <c r="A14" s="308"/>
      <c r="B14" s="2">
        <v>2</v>
      </c>
      <c r="C14" s="27" t="s">
        <v>1057</v>
      </c>
      <c r="D14" s="28" t="s">
        <v>994</v>
      </c>
      <c r="E14" s="163" t="s">
        <v>515</v>
      </c>
      <c r="F14" s="163" t="s">
        <v>516</v>
      </c>
      <c r="G14" s="25"/>
    </row>
    <row r="15" spans="1:7" ht="89.1" customHeight="1">
      <c r="A15" s="308"/>
      <c r="B15" s="293">
        <v>2.0099999999999998</v>
      </c>
      <c r="C15" s="305" t="s">
        <v>1057</v>
      </c>
      <c r="D15" s="314" t="s">
        <v>2198</v>
      </c>
      <c r="E15" s="164" t="s">
        <v>597</v>
      </c>
      <c r="F15" s="164" t="s">
        <v>600</v>
      </c>
      <c r="G15" s="25"/>
    </row>
    <row r="16" spans="1:7" ht="99" customHeight="1">
      <c r="A16" s="308"/>
      <c r="B16" s="294"/>
      <c r="C16" s="306"/>
      <c r="D16" s="315"/>
      <c r="E16" s="165"/>
      <c r="F16" s="165" t="s">
        <v>598</v>
      </c>
      <c r="G16" s="25"/>
    </row>
    <row r="17" spans="1:7" ht="63" customHeight="1">
      <c r="A17" s="308"/>
      <c r="B17" s="295"/>
      <c r="C17" s="307"/>
      <c r="D17" s="316"/>
      <c r="E17" s="27"/>
      <c r="F17" s="27" t="s">
        <v>599</v>
      </c>
      <c r="G17" s="25"/>
    </row>
    <row r="18" spans="1:7" ht="117" customHeight="1">
      <c r="A18" s="308"/>
      <c r="B18" s="293">
        <v>2.02</v>
      </c>
      <c r="C18" s="305" t="s">
        <v>1057</v>
      </c>
      <c r="D18" s="314" t="s">
        <v>2199</v>
      </c>
      <c r="E18" s="164" t="s">
        <v>426</v>
      </c>
      <c r="F18" s="164" t="s">
        <v>510</v>
      </c>
      <c r="G18" s="25"/>
    </row>
    <row r="19" spans="1:7" ht="71.099999999999994" customHeight="1">
      <c r="A19" s="308"/>
      <c r="B19" s="294"/>
      <c r="C19" s="306"/>
      <c r="D19" s="315"/>
      <c r="E19" s="165" t="s">
        <v>514</v>
      </c>
      <c r="F19" s="165" t="s">
        <v>427</v>
      </c>
      <c r="G19" s="25"/>
    </row>
    <row r="20" spans="1:7" ht="90.75" customHeight="1">
      <c r="A20" s="308"/>
      <c r="B20" s="294"/>
      <c r="C20" s="306"/>
      <c r="D20" s="315"/>
      <c r="E20" s="165"/>
      <c r="F20" s="165" t="s">
        <v>602</v>
      </c>
      <c r="G20" s="25"/>
    </row>
    <row r="21" spans="1:7" ht="74.25" customHeight="1">
      <c r="A21" s="308"/>
      <c r="B21" s="295"/>
      <c r="C21" s="307"/>
      <c r="D21" s="316"/>
      <c r="E21" s="27"/>
      <c r="F21" s="27" t="s">
        <v>601</v>
      </c>
      <c r="G21" s="25"/>
    </row>
    <row r="22" spans="1:7" ht="90" customHeight="1">
      <c r="A22" s="308"/>
      <c r="B22" s="299">
        <v>2.0299999999999998</v>
      </c>
      <c r="C22" s="299" t="s">
        <v>794</v>
      </c>
      <c r="D22" s="302" t="s">
        <v>2200</v>
      </c>
      <c r="E22" s="305" t="s">
        <v>424</v>
      </c>
      <c r="F22" s="164" t="s">
        <v>447</v>
      </c>
      <c r="G22" s="25"/>
    </row>
    <row r="23" spans="1:7" ht="109.5" customHeight="1">
      <c r="A23" s="308"/>
      <c r="B23" s="300"/>
      <c r="C23" s="300"/>
      <c r="D23" s="303"/>
      <c r="E23" s="306"/>
      <c r="F23" s="165" t="s">
        <v>795</v>
      </c>
      <c r="G23" s="25"/>
    </row>
    <row r="24" spans="1:7" ht="74.25" customHeight="1">
      <c r="A24" s="308"/>
      <c r="B24" s="301"/>
      <c r="C24" s="301"/>
      <c r="D24" s="304"/>
      <c r="E24" s="307"/>
      <c r="F24" s="27" t="s">
        <v>423</v>
      </c>
      <c r="G24" s="25"/>
    </row>
    <row r="25" spans="1:7" ht="72" customHeight="1">
      <c r="A25" s="308"/>
      <c r="B25" s="2" t="s">
        <v>445</v>
      </c>
      <c r="C25" s="27" t="s">
        <v>446</v>
      </c>
      <c r="D25" s="28" t="s">
        <v>2201</v>
      </c>
      <c r="E25" s="27" t="s">
        <v>2196</v>
      </c>
      <c r="F25" s="27" t="s">
        <v>448</v>
      </c>
      <c r="G25" s="25"/>
    </row>
    <row r="26" spans="1:7" ht="98.1" customHeight="1">
      <c r="A26" s="308"/>
      <c r="B26" s="296">
        <v>3</v>
      </c>
      <c r="C26" s="293" t="s">
        <v>66</v>
      </c>
      <c r="D26" s="314" t="s">
        <v>2202</v>
      </c>
      <c r="E26" s="305" t="s">
        <v>0</v>
      </c>
      <c r="F26" s="164" t="s">
        <v>60</v>
      </c>
      <c r="G26" s="25"/>
    </row>
    <row r="27" spans="1:7" ht="90" customHeight="1">
      <c r="A27" s="308"/>
      <c r="B27" s="297"/>
      <c r="C27" s="294"/>
      <c r="D27" s="315"/>
      <c r="E27" s="306"/>
      <c r="F27" s="165" t="s">
        <v>55</v>
      </c>
      <c r="G27" s="25"/>
    </row>
    <row r="28" spans="1:7" ht="19.350000000000001" customHeight="1">
      <c r="A28" s="308"/>
      <c r="B28" s="297"/>
      <c r="C28" s="294"/>
      <c r="D28" s="315"/>
      <c r="E28" s="306"/>
      <c r="F28" s="165" t="s">
        <v>56</v>
      </c>
      <c r="G28" s="25"/>
    </row>
    <row r="29" spans="1:7" ht="74.55" customHeight="1">
      <c r="A29" s="308"/>
      <c r="B29" s="297"/>
      <c r="C29" s="294"/>
      <c r="D29" s="315"/>
      <c r="E29" s="306"/>
      <c r="F29" s="165" t="s">
        <v>57</v>
      </c>
      <c r="G29" s="25"/>
    </row>
    <row r="30" spans="1:7" ht="62.55" customHeight="1">
      <c r="A30" s="308"/>
      <c r="B30" s="297"/>
      <c r="C30" s="294"/>
      <c r="D30" s="315"/>
      <c r="E30" s="306"/>
      <c r="F30" s="165" t="s">
        <v>58</v>
      </c>
      <c r="G30" s="25"/>
    </row>
    <row r="31" spans="1:7" ht="81" customHeight="1">
      <c r="A31" s="308"/>
      <c r="B31" s="297"/>
      <c r="C31" s="294"/>
      <c r="D31" s="315"/>
      <c r="E31" s="306"/>
      <c r="F31" s="165" t="s">
        <v>59</v>
      </c>
      <c r="G31" s="25"/>
    </row>
    <row r="32" spans="1:7" ht="48.75" customHeight="1">
      <c r="A32" s="308"/>
      <c r="B32" s="297"/>
      <c r="C32" s="294"/>
      <c r="D32" s="315"/>
      <c r="E32" s="306"/>
      <c r="F32" s="165" t="s">
        <v>62</v>
      </c>
      <c r="G32" s="25"/>
    </row>
    <row r="33" spans="1:7" ht="98.55" customHeight="1">
      <c r="A33" s="308"/>
      <c r="B33" s="297"/>
      <c r="C33" s="294"/>
      <c r="D33" s="315"/>
      <c r="E33" s="306"/>
      <c r="F33" s="165" t="s">
        <v>61</v>
      </c>
      <c r="G33" s="25"/>
    </row>
    <row r="34" spans="1:7" ht="89.1" customHeight="1">
      <c r="A34" s="308"/>
      <c r="B34" s="297"/>
      <c r="C34" s="294"/>
      <c r="D34" s="315"/>
      <c r="E34" s="306"/>
      <c r="F34" s="165" t="s">
        <v>63</v>
      </c>
      <c r="G34" s="25"/>
    </row>
    <row r="35" spans="1:7" ht="29.1" customHeight="1">
      <c r="A35" s="308"/>
      <c r="B35" s="297"/>
      <c r="C35" s="294"/>
      <c r="D35" s="315"/>
      <c r="E35" s="306"/>
      <c r="F35" s="165" t="s">
        <v>64</v>
      </c>
      <c r="G35" s="25"/>
    </row>
    <row r="36" spans="1:7" ht="112.2">
      <c r="A36" s="308"/>
      <c r="B36" s="298"/>
      <c r="C36" s="295"/>
      <c r="D36" s="316"/>
      <c r="E36" s="307"/>
      <c r="F36" s="166" t="s">
        <v>65</v>
      </c>
      <c r="G36" s="25"/>
    </row>
    <row r="37" spans="1:7" ht="102">
      <c r="A37" s="308"/>
      <c r="B37" s="141">
        <v>3.01</v>
      </c>
      <c r="C37" s="142" t="s">
        <v>66</v>
      </c>
      <c r="D37" s="28" t="s">
        <v>2203</v>
      </c>
      <c r="E37" s="167" t="s">
        <v>1294</v>
      </c>
      <c r="F37" s="168" t="s">
        <v>1396</v>
      </c>
      <c r="G37" s="25"/>
    </row>
    <row r="38" spans="1:7" ht="81.599999999999994">
      <c r="A38" s="308"/>
      <c r="B38" s="141">
        <v>3.02</v>
      </c>
      <c r="C38" s="142" t="s">
        <v>1326</v>
      </c>
      <c r="D38" s="28" t="s">
        <v>2204</v>
      </c>
      <c r="E38" s="167" t="s">
        <v>1341</v>
      </c>
      <c r="F38" s="168" t="s">
        <v>1397</v>
      </c>
      <c r="G38" s="25"/>
    </row>
    <row r="39" spans="1:7" ht="81.599999999999994">
      <c r="A39" s="308"/>
      <c r="B39" s="150">
        <v>4</v>
      </c>
      <c r="C39" s="149" t="s">
        <v>1492</v>
      </c>
      <c r="D39" s="28" t="s">
        <v>2205</v>
      </c>
      <c r="E39" s="27" t="s">
        <v>2151</v>
      </c>
      <c r="F39" s="27" t="s">
        <v>1493</v>
      </c>
      <c r="G39" s="25"/>
    </row>
    <row r="40" spans="1:7" ht="40.799999999999997">
      <c r="A40" s="308"/>
      <c r="B40" s="141">
        <v>4.01</v>
      </c>
      <c r="C40" s="149" t="s">
        <v>1492</v>
      </c>
      <c r="D40" s="28" t="s">
        <v>2207</v>
      </c>
      <c r="E40" s="27" t="s">
        <v>2163</v>
      </c>
      <c r="F40" s="27" t="s">
        <v>2167</v>
      </c>
      <c r="G40" s="25"/>
    </row>
    <row r="41" spans="1:7" ht="40.799999999999997">
      <c r="A41" s="308"/>
      <c r="B41" s="141" t="s">
        <v>2194</v>
      </c>
      <c r="C41" s="149" t="s">
        <v>1492</v>
      </c>
      <c r="D41" s="28" t="s">
        <v>2206</v>
      </c>
      <c r="E41" s="27" t="s">
        <v>2197</v>
      </c>
      <c r="F41" s="27" t="s">
        <v>2195</v>
      </c>
      <c r="G41" s="25"/>
    </row>
    <row r="42" spans="1:7" ht="40.799999999999997">
      <c r="A42" s="308"/>
      <c r="B42" s="141" t="s">
        <v>2228</v>
      </c>
      <c r="C42" s="149" t="s">
        <v>1492</v>
      </c>
      <c r="D42" s="28" t="s">
        <v>2233</v>
      </c>
      <c r="E42" s="27" t="s">
        <v>2196</v>
      </c>
      <c r="F42" s="27" t="s">
        <v>2229</v>
      </c>
      <c r="G42" s="25"/>
    </row>
    <row r="43" spans="1:7" ht="112.2">
      <c r="A43" s="308"/>
      <c r="B43" s="160">
        <v>4.0999999999999996</v>
      </c>
      <c r="C43" s="149" t="s">
        <v>2232</v>
      </c>
      <c r="D43" s="161">
        <v>42867</v>
      </c>
      <c r="E43" s="169" t="s">
        <v>2235</v>
      </c>
      <c r="F43" s="27" t="s">
        <v>2234</v>
      </c>
      <c r="G43" s="25"/>
    </row>
    <row r="44" spans="1:7" ht="71.400000000000006">
      <c r="A44" s="308"/>
      <c r="B44" s="160">
        <v>4.2</v>
      </c>
      <c r="C44" s="149" t="s">
        <v>2232</v>
      </c>
      <c r="D44" s="161">
        <v>42704</v>
      </c>
      <c r="E44" s="169" t="s">
        <v>2431</v>
      </c>
      <c r="F44" s="27" t="s">
        <v>2406</v>
      </c>
      <c r="G44" s="25"/>
    </row>
    <row r="45" spans="1:7" ht="132.6">
      <c r="A45" s="308"/>
      <c r="B45" s="202">
        <v>5</v>
      </c>
      <c r="C45" s="149" t="s">
        <v>2232</v>
      </c>
      <c r="D45" s="161">
        <v>42867</v>
      </c>
      <c r="E45" s="169" t="s">
        <v>12652</v>
      </c>
      <c r="F45" s="27" t="s">
        <v>12374</v>
      </c>
      <c r="G45" s="25"/>
    </row>
    <row r="46" spans="1:7" ht="30.6">
      <c r="A46" s="308"/>
      <c r="B46" s="160">
        <v>5.01</v>
      </c>
      <c r="C46" s="149" t="s">
        <v>2232</v>
      </c>
      <c r="D46" s="161">
        <v>42907</v>
      </c>
      <c r="E46" s="169" t="s">
        <v>15329</v>
      </c>
      <c r="F46" s="27" t="s">
        <v>12374</v>
      </c>
      <c r="G46" s="25"/>
    </row>
    <row r="47" spans="1:7" ht="61.2">
      <c r="A47" s="308"/>
      <c r="B47" s="160">
        <v>5.0999999999999996</v>
      </c>
      <c r="C47" s="149" t="s">
        <v>2232</v>
      </c>
      <c r="D47" s="161">
        <v>43070</v>
      </c>
      <c r="E47" s="169" t="s">
        <v>12862</v>
      </c>
      <c r="F47" s="27" t="s">
        <v>12863</v>
      </c>
      <c r="G47" s="25"/>
    </row>
    <row r="48" spans="1:7" ht="51">
      <c r="A48" s="308"/>
      <c r="B48" s="160">
        <v>5.1100000000000003</v>
      </c>
      <c r="C48" s="149" t="s">
        <v>13097</v>
      </c>
      <c r="D48" s="161">
        <v>43217</v>
      </c>
      <c r="E48" s="169" t="s">
        <v>13199</v>
      </c>
      <c r="F48" s="27" t="s">
        <v>13124</v>
      </c>
      <c r="G48" s="25"/>
    </row>
    <row r="49" spans="1:7" ht="51">
      <c r="A49" s="308"/>
      <c r="B49" s="160">
        <v>5.12</v>
      </c>
      <c r="C49" s="149" t="s">
        <v>13097</v>
      </c>
      <c r="D49" s="161">
        <v>43581</v>
      </c>
      <c r="E49" s="169" t="s">
        <v>13199</v>
      </c>
      <c r="F49" s="27" t="s">
        <v>13741</v>
      </c>
      <c r="G49" s="25"/>
    </row>
    <row r="50" spans="1:7" ht="71.400000000000006">
      <c r="A50" s="308"/>
      <c r="B50" s="202">
        <v>6</v>
      </c>
      <c r="C50" s="149" t="s">
        <v>13097</v>
      </c>
      <c r="D50" s="161">
        <v>43964</v>
      </c>
      <c r="E50" s="169" t="s">
        <v>13953</v>
      </c>
      <c r="F50" s="27" t="s">
        <v>13744</v>
      </c>
      <c r="G50" s="25"/>
    </row>
    <row r="51" spans="1:7" ht="40.799999999999997">
      <c r="A51" s="308"/>
      <c r="B51" s="160">
        <v>6.01</v>
      </c>
      <c r="C51" s="149" t="s">
        <v>13097</v>
      </c>
      <c r="D51" s="161">
        <v>43970</v>
      </c>
      <c r="E51" s="169" t="s">
        <v>15330</v>
      </c>
      <c r="F51" s="169" t="s">
        <v>13744</v>
      </c>
      <c r="G51" s="25"/>
    </row>
    <row r="52" spans="1:7" ht="40.799999999999997">
      <c r="A52" s="308"/>
      <c r="B52" s="160">
        <v>6.1</v>
      </c>
      <c r="C52" s="149" t="s">
        <v>13097</v>
      </c>
      <c r="D52" s="161">
        <v>44314</v>
      </c>
      <c r="E52" s="169" t="s">
        <v>15323</v>
      </c>
      <c r="F52" s="169" t="s">
        <v>14913</v>
      </c>
      <c r="G52" s="25"/>
    </row>
    <row r="53" spans="1:7" ht="40.799999999999997">
      <c r="A53" s="308"/>
      <c r="B53" s="160">
        <v>6.2</v>
      </c>
      <c r="C53" s="149" t="s">
        <v>13097</v>
      </c>
      <c r="D53" s="161">
        <v>44678</v>
      </c>
      <c r="E53" s="169" t="s">
        <v>15323</v>
      </c>
      <c r="F53" s="169" t="s">
        <v>15322</v>
      </c>
      <c r="G53" s="25"/>
    </row>
    <row r="54" spans="1:7" ht="40.799999999999997">
      <c r="A54" s="308"/>
      <c r="B54" s="160">
        <v>6.21</v>
      </c>
      <c r="C54" s="149" t="s">
        <v>13097</v>
      </c>
      <c r="D54" s="161">
        <v>44687</v>
      </c>
      <c r="E54" s="169" t="s">
        <v>15331</v>
      </c>
      <c r="F54" s="169" t="s">
        <v>15322</v>
      </c>
      <c r="G54" s="25"/>
    </row>
    <row r="55" spans="1:7" ht="40.799999999999997">
      <c r="A55" s="308"/>
      <c r="B55" s="160">
        <v>6.22</v>
      </c>
      <c r="C55" s="149" t="s">
        <v>13097</v>
      </c>
      <c r="D55" s="275">
        <v>44692</v>
      </c>
      <c r="E55" s="169" t="s">
        <v>15330</v>
      </c>
      <c r="F55" s="169" t="s">
        <v>15322</v>
      </c>
      <c r="G55" s="25"/>
    </row>
    <row r="56" spans="1:7" ht="51">
      <c r="A56" s="308"/>
      <c r="B56" s="202">
        <v>6.3</v>
      </c>
      <c r="C56" s="149" t="s">
        <v>13097</v>
      </c>
      <c r="D56" s="275">
        <v>45051</v>
      </c>
      <c r="E56" s="169" t="s">
        <v>15590</v>
      </c>
      <c r="F56" s="169" t="s">
        <v>15371</v>
      </c>
      <c r="G56" s="25"/>
    </row>
    <row r="57" spans="1:7" ht="40.799999999999997">
      <c r="A57" s="308"/>
      <c r="B57" s="160">
        <v>6.31</v>
      </c>
      <c r="C57" s="149" t="s">
        <v>13097</v>
      </c>
      <c r="D57" s="275">
        <v>45072</v>
      </c>
      <c r="E57" s="169" t="s">
        <v>15592</v>
      </c>
      <c r="F57" s="169" t="s">
        <v>15371</v>
      </c>
      <c r="G57" s="25"/>
    </row>
    <row r="58" spans="1:7" ht="40.5" customHeight="1">
      <c r="A58" s="308"/>
      <c r="B58" s="202">
        <v>6.4</v>
      </c>
      <c r="C58" s="149" t="s">
        <v>13097</v>
      </c>
      <c r="D58" s="275">
        <v>45408</v>
      </c>
      <c r="E58" s="169" t="s">
        <v>15594</v>
      </c>
      <c r="F58" s="169" t="s">
        <v>15593</v>
      </c>
      <c r="G58" s="25"/>
    </row>
    <row r="59" spans="1:7" ht="32.549999999999997" customHeight="1">
      <c r="A59" s="308"/>
      <c r="B59" s="202">
        <v>6.5</v>
      </c>
      <c r="C59" s="149" t="s">
        <v>13097</v>
      </c>
      <c r="D59" s="275">
        <v>45772</v>
      </c>
      <c r="E59" s="169" t="s">
        <v>15669</v>
      </c>
      <c r="F59" s="169" t="s">
        <v>15720</v>
      </c>
      <c r="G59" s="25"/>
    </row>
    <row r="60" spans="1:7" ht="13.2" thickBot="1">
      <c r="A60" s="309"/>
      <c r="B60" s="310" t="str">
        <f ca="1">OFFSET(L!$C$1,MATCH("General"&amp;"Cpy",L!$A:$A,0)-1,SL,,)</f>
        <v>© 2025 Responsible Minerals Initiative. All rights reserved.</v>
      </c>
      <c r="C60" s="310"/>
      <c r="D60" s="310"/>
      <c r="E60" s="310"/>
      <c r="F60" s="310"/>
      <c r="G60" s="26"/>
    </row>
    <row r="61" spans="1:7" ht="13.2" thickTop="1"/>
  </sheetData>
  <sheetProtection algorithmName="SHA-512" hashValue="QT9CxjsbBs2mhj26/2KRLh5gj1jmpLCnH1jPjbgQlTg+01Y07aSyWQYcMWbb2u86KNCa/cUEmU9taMachXT5OA==" saltValue="c+YYfXnc/jplXt05Ra9sh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E22:E24"/>
    <mergeCell ref="A2:A60"/>
    <mergeCell ref="B60:F60"/>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1640625" defaultRowHeight="12.6"/>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429</v>
      </c>
    </row>
    <row r="2" spans="1:2" ht="32.4">
      <c r="A2" s="105" t="str">
        <f ca="1">OFFSET(L!$C$1,MATCH("Instructions"&amp;ADDRESS(ROW(),COLUMN(),4),L!$A:$A,0)-1,SL,,)</f>
        <v>Introduction</v>
      </c>
      <c r="B2" s="100" t="s">
        <v>1270</v>
      </c>
    </row>
    <row r="3" spans="1:2" ht="162">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1271</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1277</v>
      </c>
    </row>
    <row r="5" spans="1:2" ht="16.2">
      <c r="A5" s="106"/>
      <c r="B5" s="100"/>
    </row>
    <row r="6" spans="1:2" ht="32.4">
      <c r="A6" s="105" t="str">
        <f ca="1">OFFSET(L!$C$1,MATCH("Instructions"&amp;ADDRESS(ROW(),COLUMN(),4),L!$A:$A,0)-1,SL,,)</f>
        <v>Instructions for completing Company Information questions (rows 8 - 22).
Provide comments in ENGLISH only</v>
      </c>
      <c r="B6" s="100" t="s">
        <v>1270</v>
      </c>
    </row>
    <row r="7" spans="1:2" ht="16.2">
      <c r="A7" s="237" t="str">
        <f ca="1">OFFSET(L!$C$1,MATCH("Instructions"&amp;ADDRESS(ROW(),COLUMN(),4),L!$A:$A,0)-1,SL,,)</f>
        <v xml:space="preserve">Note:  Entries with (*) are mandatory fields. </v>
      </c>
      <c r="B7" s="100"/>
    </row>
    <row r="8" spans="1:2" ht="32.4">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1269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2.4">
      <c r="A12" s="102" t="str">
        <f ca="1">OFFSET(L!$C$1,MATCH("Instructions"&amp;ADDRESS(ROW(),COLUMN(),4),L!$A:$A,0)-1,SL,,)</f>
        <v>5. Insert your full company address (street, city, state, country, postal code).  This field is optional.</v>
      </c>
      <c r="B12" s="100" t="s">
        <v>1270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2.4">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8.6">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6.2">
      <c r="A17" s="102" t="str">
        <f ca="1">OFFSET(L!$C$1,MATCH("Instructions"&amp;ADDRESS(ROW(),COLUMN(),4),L!$A:$A,0)-1,SL,,)</f>
        <v>10. Insert the title for the Authorizing person. This field is optional.</v>
      </c>
      <c r="B17" s="100"/>
    </row>
    <row r="18" spans="1:2" ht="32.4">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6.2">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2.4">
      <c r="A21" s="102" t="str">
        <f ca="1">OFFSET(L!$C$1,MATCH("Instructions"&amp;ADDRESS(ROW(),COLUMN(),4),L!$A:$A,0)-1,SL,,)</f>
        <v xml:space="preserve">14. As an example, the user may save the file name as:  companyname-date.xls (date as YYYY-MM-DD).  </v>
      </c>
      <c r="B21" s="100" t="s">
        <v>1270</v>
      </c>
    </row>
    <row r="22" spans="1:2" ht="16.2">
      <c r="A22" s="106"/>
      <c r="B22" s="100"/>
    </row>
    <row r="23" spans="1:2" ht="32.4">
      <c r="A23" s="105" t="str">
        <f ca="1">OFFSET(L!$C$1,MATCH("Instructions"&amp;ADDRESS(ROW(),COLUMN(),4),L!$A:$A,0)-1,SL,,)</f>
        <v>Instructions for completing the eight Due Diligence Questions (rows 24 - 71).
Provide answers in ENGLISH only</v>
      </c>
      <c r="B23" s="100" t="s">
        <v>1270</v>
      </c>
    </row>
    <row r="24" spans="1:2" ht="80.5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1273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1270</v>
      </c>
    </row>
    <row r="26" spans="1:2" ht="280.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1270</v>
      </c>
    </row>
    <row r="27" spans="1:2" ht="32.4">
      <c r="A27" s="102" t="str">
        <f ca="1">OFFSET(L!$C$1,MATCH("Instructions"&amp;ADDRESS(ROW(),COLUMN(),4),L!$A:$A,0)-1,SL,,)</f>
        <v>Some companies may require substantiation for a "No" answer that should be entered into the Comment Field.</v>
      </c>
      <c r="B27" s="100" t="s">
        <v>1270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9999999999999"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1270</v>
      </c>
    </row>
    <row r="30" spans="1:2" ht="181.8"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45.80000000000001">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1270</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1273</v>
      </c>
    </row>
    <row r="33" spans="1:2" ht="81">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4.8">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1270</v>
      </c>
    </row>
    <row r="35" spans="1:2" ht="21" customHeight="1">
      <c r="A35" s="102" t="str">
        <f ca="1">OFFSET(L!$C$1,MATCH("Instructions"&amp;ADDRESS(ROW(),COLUMN(),4),L!$A:$A,0)-1,SL,,)</f>
        <v>Provide comments in the Comment sections as required to clarify your responses.</v>
      </c>
      <c r="B35" s="100"/>
    </row>
    <row r="36" spans="1:2" ht="16.2">
      <c r="A36" s="106"/>
      <c r="B36" s="100"/>
    </row>
    <row r="37" spans="1:2" ht="48.6">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1270</v>
      </c>
    </row>
    <row r="38" spans="1:2" ht="145.80000000000001">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1272</v>
      </c>
    </row>
    <row r="39" spans="1:2" ht="64.8">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81">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1275</v>
      </c>
    </row>
    <row r="42" spans="1:2" ht="162">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1273</v>
      </c>
    </row>
    <row r="43" spans="1:2" ht="162">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1274</v>
      </c>
    </row>
    <row r="44" spans="1:2" ht="145.80000000000001">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1270</v>
      </c>
    </row>
    <row r="45" spans="1:2" ht="129.6">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1271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1270</v>
      </c>
    </row>
    <row r="47" spans="1:2" ht="16.2">
      <c r="A47" s="106"/>
      <c r="B47" s="100"/>
    </row>
    <row r="48" spans="1:2" ht="32.4">
      <c r="A48" s="105" t="str">
        <f ca="1">OFFSET(L!$C$1,MATCH("Instructions"&amp;ADDRESS(ROW(),COLUMN(),4),L!$A:$A,0)-1,SL,,)</f>
        <v>Instructions for completing the Smelter List Tab.
Provide answers in ENGLISH only</v>
      </c>
      <c r="B48" s="100" t="s">
        <v>1270</v>
      </c>
    </row>
    <row r="49" spans="1:2" ht="22.5" customHeight="1">
      <c r="A49" s="237" t="str">
        <f ca="1">OFFSET(L!$C$1,MATCH("Instructions"&amp;ADDRESS(ROW(),COLUMN(),4),L!$A:$A,0)-1,SL,,)</f>
        <v>Note:  Columns with (*) are mandatory fields</v>
      </c>
      <c r="B49" s="100"/>
    </row>
    <row r="50" spans="1:2" ht="64.8">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1269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1270</v>
      </c>
    </row>
    <row r="52" spans="1:2" ht="44.55" customHeight="1">
      <c r="A52" s="102" t="str">
        <f ca="1">OFFSET(L!$C$1,MATCH("Instructions"&amp;ADDRESS(ROW(),COLUMN(),4),L!$A:$A,0)-1,SL,,)</f>
        <v>2. Metal (*)   -   Use the pull down menu to select the metal for which you are entering smelter information.  This field is mandatory.</v>
      </c>
      <c r="B52" s="100"/>
    </row>
    <row r="53" spans="1:2" ht="79.0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1270</v>
      </c>
    </row>
    <row r="54" spans="1:2" ht="64.8">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1269</v>
      </c>
    </row>
    <row r="55" spans="1:2" ht="81">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1275</v>
      </c>
    </row>
    <row r="56" spans="1:2" ht="64.8">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1269</v>
      </c>
    </row>
    <row r="57" spans="1:2" ht="64.8">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1269</v>
      </c>
    </row>
    <row r="58" spans="1:2" ht="64.8">
      <c r="A58" s="102" t="str">
        <f ca="1">OFFSET(L!$C$1,MATCH("Instructions"&amp;ADDRESS(ROW(),COLUMN(),4),L!$A:$A,0)-1,SL,,)</f>
        <v>8. Smelter Street -  Provide the street name on which the smelter is located. This field is optional.</v>
      </c>
      <c r="B58" s="100" t="s">
        <v>1269</v>
      </c>
    </row>
    <row r="59" spans="1:2" ht="32.4">
      <c r="A59" s="102" t="str">
        <f ca="1">OFFSET(L!$C$1,MATCH("Instructions"&amp;ADDRESS(ROW(),COLUMN(),4),L!$A:$A,0)-1,SL,,)</f>
        <v>9. Smelter City – Provide the city name of where the smelter is located. This field is optional.</v>
      </c>
      <c r="B59" s="100" t="s">
        <v>1270</v>
      </c>
    </row>
    <row r="60" spans="1:2" ht="45" customHeight="1">
      <c r="A60" s="102" t="str">
        <f ca="1">OFFSET(L!$C$1,MATCH("Instructions"&amp;ADDRESS(ROW(),COLUMN(),4),L!$A:$A,0)-1,SL,,)</f>
        <v>10. Smelter Location: State/Province, if applicable – Provide the state or province where the smelter is located. This field is optional.</v>
      </c>
      <c r="B60" s="100" t="s">
        <v>1273</v>
      </c>
    </row>
    <row r="61" spans="1:2" ht="162">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1273</v>
      </c>
    </row>
    <row r="62" spans="1:2" ht="64.8">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1269</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1269</v>
      </c>
    </row>
    <row r="64" spans="1:2" ht="136.19999999999999"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7.2">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6.2">
      <c r="A67" s="107"/>
      <c r="B67" s="100"/>
    </row>
    <row r="68" spans="1:2" ht="34.5" customHeight="1">
      <c r="A68" s="105" t="str">
        <f ca="1">OFFSET(L!$C$1,MATCH("Instructions"&amp;ADDRESS(ROW(),COLUMN(),4),L!$A:$A,0)-1,SL,,)</f>
        <v>TERMS AND CONDITIONS</v>
      </c>
      <c r="B68" s="100"/>
    </row>
    <row r="69" spans="1:2" ht="16.2">
      <c r="A69" s="107"/>
      <c r="B69" s="100"/>
    </row>
    <row r="70" spans="1:2" ht="80.5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1270</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1276</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1274</v>
      </c>
    </row>
    <row r="73" spans="1:2" ht="81">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1275</v>
      </c>
    </row>
    <row r="74" spans="1:2" ht="32.4">
      <c r="A74" s="102"/>
      <c r="B74" s="100" t="s">
        <v>428</v>
      </c>
    </row>
    <row r="75" spans="1:2" ht="16.2">
      <c r="A75" s="102" t="str">
        <f ca="1">OFFSET(L!$C$1,MATCH("General"&amp;"Cpy",L!$A:$A,0)-1,SL,,)</f>
        <v>© 2025 Responsible Minerals Initiative. All rights reserved.</v>
      </c>
      <c r="B75" s="101"/>
    </row>
    <row r="76" spans="1:2" ht="16.2">
      <c r="A76" s="103" t="s">
        <v>1004</v>
      </c>
      <c r="B76" s="101"/>
    </row>
    <row r="77" spans="1:2" ht="16.8"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defaultColWidth="8.81640625" defaultRowHeight="12.6"/>
  <cols>
    <col min="1" max="1" width="1.6328125" customWidth="1"/>
    <col min="2" max="2" width="35.6328125" customWidth="1"/>
    <col min="3" max="3" width="105.6328125" customWidth="1"/>
    <col min="4" max="5" width="1.6328125" customWidth="1"/>
    <col min="6" max="6" width="4.6328125" customWidth="1"/>
    <col min="7" max="7" width="4.81640625" customWidth="1"/>
  </cols>
  <sheetData>
    <row r="1" spans="1:5" ht="13.2"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05" customHeight="1">
      <c r="A3" s="74"/>
      <c r="B3" s="63" t="str">
        <f ca="1">OFFSET(L!$C$1,MATCH("Definitions"&amp;ADDRESS(ROW(),COLUMN(),4),L!$A:$A,0)-1,SL,,)</f>
        <v>3TG</v>
      </c>
      <c r="C3" s="63" t="str">
        <f ca="1">OFFSET(L!$C$1,MATCH("Definitions"&amp;ADDRESS(ROW(),COLUMN(),4),L!$A:$A,0)-1,SL,,)</f>
        <v>Tantalum, tin, tungsten, gold</v>
      </c>
      <c r="D3" s="321"/>
      <c r="E3" s="100" t="s">
        <v>1278</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4.8">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9999999999999"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1279</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1279</v>
      </c>
    </row>
    <row r="8" spans="1:5" ht="145.80000000000001">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1282</v>
      </c>
    </row>
    <row r="9" spans="1:5" ht="64.8">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1279</v>
      </c>
    </row>
    <row r="10" spans="1:5" ht="48.6">
      <c r="A10" s="74"/>
      <c r="B10" s="63" t="str">
        <f ca="1">OFFSET(L!$C$1,MATCH("Definitions"&amp;ADDRESS(ROW(),COLUMN(),4),L!$A:$A,0)-1,SL,,)</f>
        <v>DRC</v>
      </c>
      <c r="C10" s="63" t="str">
        <f ca="1">OFFSET(L!$C$1,MATCH("Definitions"&amp;ADDRESS(ROW(),COLUMN(),4),L!$A:$A,0)-1,SL,,)</f>
        <v>Democratic Republic of Congo</v>
      </c>
      <c r="D10" s="321"/>
      <c r="E10" s="100" t="s">
        <v>1278</v>
      </c>
    </row>
    <row r="11" spans="1:5" ht="64.8"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1278</v>
      </c>
    </row>
    <row r="12" spans="1:5" ht="64.8">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1"/>
      <c r="E12" s="100" t="s">
        <v>1278</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1"/>
      <c r="E13" s="100" t="s">
        <v>1280</v>
      </c>
    </row>
    <row r="14" spans="1:5" ht="291.60000000000002">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1278</v>
      </c>
    </row>
    <row r="15" spans="1:5" ht="129.6">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1278</v>
      </c>
    </row>
    <row r="16" spans="1:5" ht="64.8">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1278</v>
      </c>
    </row>
    <row r="17" spans="1:5" ht="194.4">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1278</v>
      </c>
    </row>
    <row r="18" spans="1:5" ht="162">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1278</v>
      </c>
    </row>
    <row r="19" spans="1:5" ht="16.2">
      <c r="A19" s="74"/>
      <c r="B19" s="63" t="str">
        <f ca="1">OFFSET(L!$C$1,MATCH("Definitions"&amp;ADDRESS(ROW(),COLUMN(),4),L!$A:$A,0)-1,SL,,)</f>
        <v>OECD</v>
      </c>
      <c r="C19" s="63" t="str">
        <f ca="1">OFFSET(L!$C$1,MATCH("Definitions"&amp;ADDRESS(ROW(),COLUMN(),4),L!$A:$A,0)-1,SL,,)</f>
        <v>Organisation for Economic Co-operation and Development</v>
      </c>
      <c r="D19" s="321"/>
      <c r="E19" s="100"/>
    </row>
    <row r="20" spans="1:5" ht="32.4">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6.2">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4.8">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1"/>
      <c r="E25" s="100" t="s">
        <v>1278</v>
      </c>
    </row>
    <row r="26" spans="1:5" ht="81">
      <c r="A26" s="74"/>
      <c r="B26" s="63" t="str">
        <f ca="1">OFFSET(L!$C$1,MATCH("Definitions"&amp;ADDRESS(ROW(),COLUMN(),4),L!$A:$A,0)-1,SL,,)</f>
        <v>SEC</v>
      </c>
      <c r="C26" s="63" t="str">
        <f ca="1">OFFSET(L!$C$1,MATCH("Definitions"&amp;ADDRESS(ROW(),COLUMN(),4),L!$A:$A,0)-1,SL,,)</f>
        <v>U.S. Securities and Exchange Commission (www.sec.gov)</v>
      </c>
      <c r="D26" s="321"/>
      <c r="E26" s="100" t="s">
        <v>1280</v>
      </c>
    </row>
    <row r="27" spans="1:5" ht="64.8">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1278</v>
      </c>
    </row>
    <row r="28" spans="1:5" ht="64.8">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1"/>
      <c r="E28" s="100" t="s">
        <v>1279</v>
      </c>
    </row>
    <row r="29" spans="1:5" ht="97.2">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1"/>
      <c r="E29" s="100" t="s">
        <v>1280</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1"/>
      <c r="E30" s="100" t="s">
        <v>1281</v>
      </c>
    </row>
    <row r="31" spans="1:5" ht="133.0500000000000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1"/>
      <c r="E31" s="100"/>
    </row>
    <row r="32" spans="1:5" ht="16.2">
      <c r="A32" s="74"/>
      <c r="B32" s="320" t="str">
        <f ca="1">OFFSET(L!$C$1,MATCH("General"&amp;"Cpy",L!$A:$A,0)-1,SL,,)</f>
        <v>© 2025 Responsible Minerals Initiative. All rights reserved.</v>
      </c>
      <c r="C32" s="320"/>
      <c r="D32" s="321"/>
      <c r="E32" s="100"/>
    </row>
    <row r="33" spans="1:4" ht="13.2" thickBot="1">
      <c r="A33" s="75"/>
      <c r="B33" s="153"/>
      <c r="C33" s="153"/>
      <c r="D33" s="322"/>
    </row>
    <row r="34" spans="1:4" ht="13.2" thickTop="1"/>
  </sheetData>
  <sheetProtection algorithmName="SHA-512" hashValue="SWOkQrZ6uwh6cv2N6ozS1H455taVbtswAwrLcfogt/ssVBHSXk1nIUGGsEI6WxT1Z+SGnA0yyv9vpR6CxFY5BQ==" saltValue="4+do9j+x3hIQtacefDrGc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B90" sqref="B90:J90"/>
    </sheetView>
  </sheetViews>
  <sheetFormatPr defaultColWidth="8.81640625" defaultRowHeight="12.6"/>
  <cols>
    <col min="1" max="1" width="1.81640625" customWidth="1"/>
    <col min="2" max="2" width="83.1796875" customWidth="1"/>
    <col min="3" max="3" width="1.6328125" customWidth="1"/>
    <col min="4" max="5" width="16.6328125" customWidth="1"/>
    <col min="6" max="6" width="1.6328125" customWidth="1"/>
    <col min="7" max="9" width="16.6328125" customWidth="1"/>
    <col min="10" max="10" width="17.81640625" customWidth="1"/>
    <col min="11" max="11" width="1.6328125" customWidth="1"/>
    <col min="12" max="12" width="3.6328125" hidden="1" customWidth="1"/>
    <col min="13" max="15" width="4.81640625" hidden="1" customWidth="1"/>
    <col min="16" max="24" width="9.1796875" hidden="1" customWidth="1"/>
    <col min="25" max="25" width="8.81640625" hidden="1" customWidth="1"/>
  </cols>
  <sheetData>
    <row r="1" spans="1:34" ht="16.8"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832</v>
      </c>
      <c r="E3" s="3"/>
      <c r="F3" s="357"/>
      <c r="G3" s="357"/>
      <c r="H3" s="357"/>
      <c r="I3" s="152"/>
      <c r="J3" s="138" t="s">
        <v>15733</v>
      </c>
      <c r="K3" s="36"/>
      <c r="L3" s="100"/>
      <c r="P3" s="45">
        <f>MATCH($D$3,LN,0)</f>
        <v>1</v>
      </c>
    </row>
    <row r="4" spans="1:34" ht="16.2">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6.2">
      <c r="A5" s="134" t="str">
        <f>LEFT(D9,1)</f>
        <v>B</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2.4">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430</v>
      </c>
      <c r="P6" s="3"/>
      <c r="Q6" s="3"/>
      <c r="R6" s="3"/>
      <c r="S6" s="3"/>
      <c r="T6" s="3"/>
      <c r="U6" s="3"/>
      <c r="V6" s="3"/>
      <c r="W6" s="3"/>
      <c r="X6" s="3"/>
      <c r="Y6" s="3"/>
      <c r="Z6" s="3"/>
      <c r="AA6" s="3"/>
      <c r="AB6" s="3"/>
      <c r="AC6" s="3"/>
      <c r="AD6" s="3"/>
      <c r="AE6" s="3"/>
      <c r="AF6" s="3"/>
      <c r="AG6" s="3"/>
      <c r="AH6" s="3"/>
    </row>
    <row r="7" spans="1:34" ht="37.049999999999997"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6.2">
      <c r="A8" s="38"/>
      <c r="B8" s="73" t="str">
        <f ca="1">OFFSET(L!$C$1,MATCH("Declaration"&amp;ADDRESS(ROW(),COLUMN(),4),L!$A:$A,0)-1,SL,,)</f>
        <v>Company Name (*):</v>
      </c>
      <c r="C8" s="76"/>
      <c r="D8" s="347" t="s">
        <v>15817</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6.2">
      <c r="A9" s="38"/>
      <c r="B9" s="73" t="str">
        <f ca="1">OFFSET(L!$C$1,MATCH("Declaration"&amp;ADDRESS(ROW(),COLUMN(),4),L!$A:$A,0)-1,SL,,)</f>
        <v>Declaration Scope or Class (*):</v>
      </c>
      <c r="C9" s="76"/>
      <c r="D9" s="359" t="s">
        <v>482</v>
      </c>
      <c r="E9" s="360"/>
      <c r="F9" s="360"/>
      <c r="G9" s="361"/>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32.549999999999997" customHeight="1">
      <c r="A10" s="38"/>
      <c r="B10" s="363" t="str">
        <f ca="1">OFFSET(L!$C$1,MATCH("Declaration"&amp;ADDRESS(ROW(),COLUMN(),4)&amp;LEFT($D$9,1),L!$A:$A,0)-1,SL,,)</f>
        <v>Go to Product List tab to enter products this declaration applies to</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6.2">
      <c r="A11" s="38"/>
      <c r="B11" s="364"/>
      <c r="C11" s="122"/>
      <c r="D11" s="370" t="str">
        <f ca="1">IF(D9=Q9,OFFSET(L!$C$1,MATCH("Declaration"&amp;ADDRESS(ROW(),COLUMN(),4),L!$A:$A,0)-1,SL,,),"")</f>
        <v>Click here to enter the products this declaration applies to</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6.2">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6.2">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6.2">
      <c r="A14" s="38"/>
      <c r="B14" s="40" t="str">
        <f ca="1">OFFSET(L!$C$1,MATCH("Declaration"&amp;ADDRESS(ROW(),COLUMN(),4),L!$A:$A,0)-1,SL,,)</f>
        <v>Address:</v>
      </c>
      <c r="C14" s="77"/>
      <c r="D14" s="350" t="s">
        <v>15818</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6.2">
      <c r="A15" s="38"/>
      <c r="B15" s="40" t="str">
        <f ca="1">OFFSET(L!$C$1,MATCH("Declaration"&amp;ADDRESS(ROW(),COLUMN(),4),L!$A:$A,0)-1,SL,,)</f>
        <v>Contact Name (*):</v>
      </c>
      <c r="C15" s="77"/>
      <c r="D15" s="350" t="s">
        <v>15819</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6.2">
      <c r="A16" s="38"/>
      <c r="B16" s="40" t="str">
        <f ca="1">OFFSET(L!$C$1,MATCH("Declaration"&amp;ADDRESS(ROW(),COLUMN(),4),L!$A:$A,0)-1,SL,,)</f>
        <v>Email – Contact (*):</v>
      </c>
      <c r="C16" s="77"/>
      <c r="D16" s="365" t="s">
        <v>15820</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6.2">
      <c r="A17" s="38"/>
      <c r="B17" s="40" t="str">
        <f ca="1">OFFSET(L!$C$1,MATCH("Declaration"&amp;ADDRESS(ROW(),COLUMN(),4),L!$A:$A,0)-1,SL,,)</f>
        <v>Phone – Contact (*):</v>
      </c>
      <c r="C17" s="77"/>
      <c r="D17" s="350" t="s">
        <v>15821</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2">
      <c r="A18" s="38"/>
      <c r="B18" s="40" t="str">
        <f ca="1">OFFSET(L!$C$1,MATCH("Declaration"&amp;ADDRESS(ROW(),COLUMN(),4),L!$A:$A,0)-1,SL,,)</f>
        <v>Authorizer (*):</v>
      </c>
      <c r="C18" s="77"/>
      <c r="D18" s="383" t="s">
        <v>15822</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2">
      <c r="A19" s="38"/>
      <c r="B19" s="40" t="str">
        <f ca="1">OFFSET(L!$C$1,MATCH("Declaration"&amp;ADDRESS(ROW(),COLUMN(),4),L!$A:$A,0)-1,SL,,)</f>
        <v>Title - Authorizer:</v>
      </c>
      <c r="C19" s="77"/>
      <c r="D19" s="350" t="s">
        <v>15823</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2">
      <c r="A20" s="38"/>
      <c r="B20" s="40" t="str">
        <f ca="1">OFFSET(L!$C$1,MATCH("Declaration"&amp;ADDRESS(ROW(),COLUMN(),4),L!$A:$A,0)-1,SL,,)</f>
        <v>Email - Authorizer (*):</v>
      </c>
      <c r="C20" s="77"/>
      <c r="D20" s="365" t="s">
        <v>15824</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6.2">
      <c r="A21" s="38"/>
      <c r="B21" s="40" t="str">
        <f ca="1">OFFSET(L!$C$1,MATCH("Declaration"&amp;ADDRESS(ROW(),COLUMN(),4),L!$A:$A,0)-1,SL,,)</f>
        <v>Phone - Authorizer:</v>
      </c>
      <c r="C21" s="133"/>
      <c r="D21" s="323" t="s">
        <v>15821</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7.399999999999999">
      <c r="A22" s="38"/>
      <c r="B22" s="40" t="str">
        <f ca="1">OFFSET(L!$C$1,MATCH("Declaration"&amp;ADDRESS(ROW(),COLUMN(),4),L!$A:$A,0)-1,SL,,)</f>
        <v>Effective Date (*):</v>
      </c>
      <c r="C22" s="78"/>
      <c r="D22" s="328">
        <v>45805</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399999999999999">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2">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2.2">
      <c r="A26" s="41"/>
      <c r="B26" s="40" t="str">
        <f ca="1">OFFSET(L!$C$1,MATCH("Declaration"&amp;ADDRESS(ROW(),COLUMN(),4),L!$A:$A,0)-1,SL,,)&amp;P26</f>
        <v xml:space="preserve">Tantalum  </v>
      </c>
      <c r="C26" s="35"/>
      <c r="D26" s="326" t="s">
        <v>476</v>
      </c>
      <c r="E26" s="327"/>
      <c r="F26" s="12"/>
      <c r="G26" s="334"/>
      <c r="H26" s="335"/>
      <c r="I26" s="335"/>
      <c r="J26" s="336"/>
      <c r="K26" s="36"/>
      <c r="L26" s="116"/>
      <c r="P26" s="45" t="str">
        <f>IF(D$26="No","","(*)")</f>
        <v/>
      </c>
      <c r="R26" s="3"/>
      <c r="S26" s="3"/>
      <c r="T26" s="3"/>
      <c r="U26" s="3"/>
      <c r="V26" s="3"/>
      <c r="W26" s="3"/>
      <c r="X26" s="3"/>
      <c r="Y26" s="3"/>
      <c r="Z26" s="3"/>
      <c r="AA26" s="3"/>
      <c r="AB26" s="3"/>
      <c r="AC26" s="3"/>
      <c r="AD26" s="3"/>
      <c r="AE26" s="3"/>
      <c r="AF26" s="3"/>
      <c r="AG26" s="3"/>
      <c r="AH26" s="3"/>
    </row>
    <row r="27" spans="1:34" ht="22.2">
      <c r="A27" s="41"/>
      <c r="B27" s="40" t="str">
        <f ca="1">OFFSET(L!$C$1,MATCH("Declaration"&amp;ADDRESS(ROW(),COLUMN(),4),L!$A:$A,0)-1,SL,,)&amp;P27</f>
        <v>Tin  (*)</v>
      </c>
      <c r="C27" s="35"/>
      <c r="D27" s="326" t="s">
        <v>475</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2">
      <c r="A28" s="41"/>
      <c r="B28" s="40" t="str">
        <f ca="1">OFFSET(L!$C$1,MATCH("Declaration"&amp;ADDRESS(ROW(),COLUMN(),4),L!$A:$A,0)-1,SL,,)&amp;P28</f>
        <v xml:space="preserve">Gold  </v>
      </c>
      <c r="C28" s="35"/>
      <c r="D28" s="326" t="s">
        <v>476</v>
      </c>
      <c r="E28" s="327"/>
      <c r="F28" s="12"/>
      <c r="G28" s="334"/>
      <c r="H28" s="335"/>
      <c r="I28" s="335"/>
      <c r="J28" s="336"/>
      <c r="K28" s="36"/>
      <c r="L28" s="116"/>
      <c r="P28" s="45" t="str">
        <f>IF(D$28="No","","(*)")</f>
        <v/>
      </c>
      <c r="R28" s="3"/>
      <c r="S28" s="3"/>
      <c r="T28" s="3"/>
      <c r="U28" s="3"/>
      <c r="V28" s="3"/>
      <c r="W28" s="3"/>
      <c r="X28" s="3"/>
      <c r="Y28" s="3"/>
      <c r="Z28" s="3"/>
      <c r="AA28" s="3"/>
      <c r="AB28" s="3"/>
      <c r="AC28" s="3"/>
      <c r="AD28" s="3"/>
      <c r="AE28" s="3"/>
      <c r="AF28" s="3"/>
      <c r="AG28" s="3"/>
      <c r="AH28" s="3"/>
    </row>
    <row r="29" spans="1:34" ht="22.2">
      <c r="A29" s="41"/>
      <c r="B29" s="40" t="str">
        <f ca="1">OFFSET(L!$C$1,MATCH("Declaration"&amp;ADDRESS(ROW(),COLUMN(),4),L!$A:$A,0)-1,SL,,)&amp;P29</f>
        <v xml:space="preserve">Tungsten  </v>
      </c>
      <c r="C29" s="35"/>
      <c r="D29" s="326" t="s">
        <v>476</v>
      </c>
      <c r="E29" s="327"/>
      <c r="F29" s="12"/>
      <c r="G29" s="334"/>
      <c r="H29" s="335"/>
      <c r="I29" s="335"/>
      <c r="J29" s="336"/>
      <c r="K29" s="36"/>
      <c r="L29" s="116"/>
      <c r="P29" s="45" t="str">
        <f>IF(D$29="No","","(*)")</f>
        <v/>
      </c>
      <c r="R29" s="3"/>
      <c r="S29" s="3"/>
      <c r="T29" s="3"/>
      <c r="U29" s="3"/>
      <c r="V29" s="3"/>
      <c r="W29" s="3"/>
      <c r="X29" s="3"/>
      <c r="Y29" s="3"/>
      <c r="Z29" s="3"/>
      <c r="AA29" s="3"/>
      <c r="AB29" s="3"/>
      <c r="AC29" s="3"/>
      <c r="AD29" s="3"/>
      <c r="AE29" s="3"/>
      <c r="AF29" s="3"/>
      <c r="AG29" s="3"/>
      <c r="AH29" s="3"/>
    </row>
    <row r="30" spans="1:34" ht="17.399999999999999">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1209</v>
      </c>
      <c r="P31" s="45">
        <f>COUNTIF(D$26:D$29,"No")</f>
        <v>3</v>
      </c>
      <c r="Q31" s="45" t="str">
        <f>IF(P31=4,""," (*)")</f>
        <v xml:space="preserve"> (*)</v>
      </c>
      <c r="R31" s="3"/>
      <c r="S31" s="3"/>
      <c r="T31" s="3"/>
      <c r="U31" s="3"/>
      <c r="V31" s="3"/>
      <c r="W31" s="3"/>
      <c r="X31" s="3"/>
      <c r="Y31" s="3"/>
      <c r="Z31" s="3"/>
      <c r="AA31" s="3"/>
      <c r="AB31" s="3"/>
      <c r="AC31" s="3"/>
      <c r="AD31" s="3"/>
      <c r="AE31" s="3"/>
      <c r="AF31" s="3"/>
      <c r="AG31" s="3"/>
      <c r="AH31" s="3"/>
    </row>
    <row r="32" spans="1:34" ht="22.2">
      <c r="A32" s="41"/>
      <c r="B32" s="40" t="str">
        <f ca="1">B26</f>
        <v xml:space="preserve">Tantalum  </v>
      </c>
      <c r="C32" s="10"/>
      <c r="D32" s="332"/>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2">
      <c r="A33" s="41"/>
      <c r="B33" s="40" t="str">
        <f ca="1">B27</f>
        <v>Tin  (*)</v>
      </c>
      <c r="C33" s="10"/>
      <c r="D33" s="326" t="s">
        <v>475</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2">
      <c r="A34" s="41"/>
      <c r="B34" s="40" t="str">
        <f ca="1">B28</f>
        <v xml:space="preserve">Gold  </v>
      </c>
      <c r="C34" s="10"/>
      <c r="D34" s="326"/>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2">
      <c r="A35" s="41"/>
      <c r="B35" s="40" t="str">
        <f ca="1">B29</f>
        <v xml:space="preserve">Tungsten  </v>
      </c>
      <c r="C35" s="10"/>
      <c r="D35" s="326"/>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7.399999999999999">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1209</v>
      </c>
      <c r="P37" s="45">
        <f>COUNTIF(D$26:D$29,"No")+COUNTIF(D$32:D$35,"No")</f>
        <v>3</v>
      </c>
      <c r="Q37" s="45" t="str">
        <f>IF(P37&gt;3,""," (*)")</f>
        <v xml:space="preserve"> (*)</v>
      </c>
      <c r="R37" s="3"/>
      <c r="S37" s="3"/>
      <c r="T37" s="3"/>
      <c r="U37" s="3"/>
      <c r="V37" s="3"/>
      <c r="W37" s="3"/>
      <c r="X37" s="3"/>
      <c r="Y37" s="3"/>
      <c r="Z37" s="3"/>
      <c r="AA37" s="3"/>
      <c r="AB37" s="3"/>
      <c r="AC37" s="3"/>
      <c r="AD37" s="3"/>
      <c r="AE37" s="3"/>
      <c r="AF37" s="3"/>
      <c r="AG37" s="3"/>
      <c r="AH37" s="3"/>
    </row>
    <row r="38" spans="1:34" ht="22.2">
      <c r="A38" s="41"/>
      <c r="B38" s="40" t="str">
        <f ca="1">OFFSET(L!$C$1,MATCH("Declaration"&amp;ADDRESS(ROW(),COLUMN(),4),L!$A:$A,0)-1,SL,,)&amp;P38</f>
        <v xml:space="preserve">Tantalum  </v>
      </c>
      <c r="C38" s="10"/>
      <c r="D38" s="326"/>
      <c r="E38" s="327"/>
      <c r="F38" s="47"/>
      <c r="G38" s="334"/>
      <c r="H38" s="335"/>
      <c r="I38" s="335"/>
      <c r="J38" s="336"/>
      <c r="K38" s="36"/>
      <c r="L38" s="116"/>
      <c r="P38" s="45" t="str">
        <f>IF((OR(D$26="No",D$32="No")),"","(*)")</f>
        <v/>
      </c>
      <c r="Q38" s="3"/>
      <c r="R38" s="3"/>
      <c r="S38" s="3"/>
      <c r="T38" s="3"/>
      <c r="U38" s="3"/>
      <c r="V38" s="3"/>
      <c r="W38" s="3"/>
      <c r="X38" s="3"/>
      <c r="Y38" s="3"/>
      <c r="Z38" s="3"/>
      <c r="AA38" s="3"/>
      <c r="AB38" s="3"/>
      <c r="AC38" s="3"/>
      <c r="AD38" s="3"/>
      <c r="AE38" s="3"/>
      <c r="AF38" s="3"/>
      <c r="AG38" s="3"/>
    </row>
    <row r="39" spans="1:34" ht="22.2">
      <c r="A39" s="41"/>
      <c r="B39" s="40" t="str">
        <f ca="1">OFFSET(L!$C$1,MATCH("Declaration"&amp;ADDRESS(ROW(),COLUMN(),4),L!$A:$A,0)-1,SL,,)&amp;P39</f>
        <v>Tin  (*)</v>
      </c>
      <c r="C39" s="10"/>
      <c r="D39" s="326" t="s">
        <v>476</v>
      </c>
      <c r="E39" s="327"/>
      <c r="F39" s="47"/>
      <c r="G39" s="334"/>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2">
      <c r="A40" s="41"/>
      <c r="B40" s="40" t="str">
        <f ca="1">OFFSET(L!$C$1,MATCH("Declaration"&amp;ADDRESS(ROW(),COLUMN(),4),L!$A:$A,0)-1,SL,,)&amp;P40</f>
        <v xml:space="preserve">Gold  </v>
      </c>
      <c r="C40" s="10"/>
      <c r="D40" s="326"/>
      <c r="E40" s="327"/>
      <c r="F40" s="47"/>
      <c r="G40" s="334"/>
      <c r="H40" s="335"/>
      <c r="I40" s="335"/>
      <c r="J40" s="336"/>
      <c r="K40" s="36"/>
      <c r="L40" s="116"/>
      <c r="P40" s="45" t="str">
        <f>IF((OR(D$28="No",D$34="No")),"","(*)")</f>
        <v/>
      </c>
      <c r="Q40" s="3"/>
      <c r="R40" s="3"/>
      <c r="S40" s="3"/>
      <c r="T40" s="3"/>
      <c r="U40" s="3"/>
      <c r="V40" s="3"/>
      <c r="W40" s="3"/>
      <c r="X40" s="3"/>
      <c r="Y40" s="3"/>
      <c r="Z40" s="3"/>
      <c r="AA40" s="3"/>
      <c r="AB40" s="3"/>
      <c r="AC40" s="3"/>
      <c r="AD40" s="3"/>
      <c r="AE40" s="3"/>
      <c r="AF40" s="3"/>
      <c r="AG40" s="3"/>
    </row>
    <row r="41" spans="1:34" ht="22.2">
      <c r="A41" s="41"/>
      <c r="B41" s="40" t="str">
        <f ca="1">OFFSET(L!$C$1,MATCH("Declaration"&amp;ADDRESS(ROW(),COLUMN(),4),L!$A:$A,0)-1,SL,,)&amp;P41</f>
        <v xml:space="preserve">Tungsten  </v>
      </c>
      <c r="C41" s="10"/>
      <c r="D41" s="326"/>
      <c r="E41" s="327"/>
      <c r="F41" s="47"/>
      <c r="G41" s="334"/>
      <c r="H41" s="335"/>
      <c r="I41" s="335"/>
      <c r="J41" s="336"/>
      <c r="K41" s="36"/>
      <c r="L41" s="116"/>
      <c r="P41" s="45" t="str">
        <f>IF((OR(D$29="No",D$35="No")),"","(*)")</f>
        <v/>
      </c>
      <c r="Q41" s="3"/>
      <c r="R41" s="3"/>
      <c r="S41" s="3"/>
      <c r="T41" s="3"/>
      <c r="U41" s="3"/>
      <c r="V41" s="3"/>
      <c r="W41" s="3"/>
      <c r="X41" s="3"/>
      <c r="Y41" s="3"/>
      <c r="Z41" s="3"/>
      <c r="AA41" s="3"/>
      <c r="AB41" s="3"/>
      <c r="AC41" s="3"/>
      <c r="AD41" s="3"/>
      <c r="AE41" s="3"/>
      <c r="AF41" s="3"/>
      <c r="AG41" s="3"/>
    </row>
    <row r="42" spans="1:34" ht="17.399999999999999">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3</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34"/>
      <c r="H44" s="335"/>
      <c r="I44" s="335"/>
      <c r="J44" s="336"/>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476</v>
      </c>
      <c r="E45" s="327"/>
      <c r="F45" s="47"/>
      <c r="G45" s="334"/>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26"/>
      <c r="E46" s="327"/>
      <c r="F46" s="47"/>
      <c r="G46" s="334"/>
      <c r="H46" s="335"/>
      <c r="I46" s="335"/>
      <c r="J46" s="336"/>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34"/>
      <c r="H47" s="335"/>
      <c r="I47" s="335"/>
      <c r="J47" s="336"/>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2.2">
      <c r="A50" s="41"/>
      <c r="B50" s="40" t="str">
        <f ca="1">B38</f>
        <v xml:space="preserve">Tantalum  </v>
      </c>
      <c r="C50" s="10"/>
      <c r="D50" s="326"/>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2">
      <c r="A51" s="41"/>
      <c r="B51" s="40" t="str">
        <f ca="1">B39</f>
        <v>Tin  (*)</v>
      </c>
      <c r="C51" s="10"/>
      <c r="D51" s="326" t="s">
        <v>476</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2">
      <c r="A52" s="41"/>
      <c r="B52" s="40" t="str">
        <f ca="1">B40</f>
        <v xml:space="preserve">Gold  </v>
      </c>
      <c r="C52" s="10"/>
      <c r="D52" s="326"/>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2">
      <c r="A53" s="41"/>
      <c r="B53" s="40" t="str">
        <f ca="1">B41</f>
        <v xml:space="preserve">Tungsten  </v>
      </c>
      <c r="C53" s="10"/>
      <c r="D53" s="326"/>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7.399999999999999">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2.2">
      <c r="A56" s="41"/>
      <c r="B56" s="40" t="str">
        <f ca="1">B38</f>
        <v xml:space="preserve">Tantalum  </v>
      </c>
      <c r="C56" s="35"/>
      <c r="D56" s="368"/>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2">
      <c r="A57" s="41"/>
      <c r="B57" s="40" t="str">
        <f ca="1">B39</f>
        <v>Tin  (*)</v>
      </c>
      <c r="C57" s="35"/>
      <c r="D57" s="368" t="s">
        <v>15825</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2">
      <c r="A58" s="41"/>
      <c r="B58" s="40" t="str">
        <f ca="1">B40</f>
        <v xml:space="preserve">Gold  </v>
      </c>
      <c r="C58" s="35"/>
      <c r="D58" s="368"/>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2">
      <c r="A59" s="41"/>
      <c r="B59" s="40" t="str">
        <f ca="1">B41</f>
        <v xml:space="preserve">Tungsten  </v>
      </c>
      <c r="C59" s="35"/>
      <c r="D59" s="368"/>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6.2">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1207</v>
      </c>
      <c r="M61" s="112"/>
      <c r="P61" s="3"/>
      <c r="Q61" s="3"/>
      <c r="R61" s="3"/>
      <c r="S61" s="3"/>
      <c r="T61" s="3"/>
      <c r="U61" s="3"/>
      <c r="V61" s="3"/>
      <c r="W61" s="3"/>
      <c r="X61" s="3"/>
      <c r="Y61" s="3"/>
      <c r="Z61" s="3"/>
      <c r="AA61" s="3"/>
      <c r="AB61" s="3"/>
      <c r="AC61" s="3"/>
      <c r="AD61" s="3"/>
      <c r="AE61" s="3"/>
      <c r="AF61" s="3"/>
      <c r="AG61" s="3"/>
      <c r="AH61" s="3"/>
    </row>
    <row r="62" spans="1:34" ht="22.2">
      <c r="A62" s="41"/>
      <c r="B62" s="40" t="str">
        <f ca="1">B38</f>
        <v xml:space="preserve">Tantalum  </v>
      </c>
      <c r="C62" s="10"/>
      <c r="D62" s="332"/>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2">
      <c r="A63" s="41"/>
      <c r="B63" s="40" t="str">
        <f ca="1">B39</f>
        <v>Tin  (*)</v>
      </c>
      <c r="C63" s="10"/>
      <c r="D63" s="326" t="s">
        <v>475</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2">
      <c r="A64" s="41"/>
      <c r="B64" s="40" t="str">
        <f ca="1">B40</f>
        <v xml:space="preserve">Gold  </v>
      </c>
      <c r="C64" s="10"/>
      <c r="D64" s="326"/>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2">
      <c r="A65" s="41"/>
      <c r="B65" s="40" t="str">
        <f ca="1">B41</f>
        <v xml:space="preserve">Tungsten  </v>
      </c>
      <c r="C65" s="10"/>
      <c r="D65" s="326"/>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6.2">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1207</v>
      </c>
      <c r="M67" s="112"/>
      <c r="P67" s="3"/>
      <c r="Q67" s="3"/>
      <c r="R67" s="3"/>
      <c r="S67" s="3"/>
      <c r="T67" s="3"/>
      <c r="U67" s="3"/>
      <c r="V67" s="3"/>
      <c r="W67" s="3"/>
      <c r="X67" s="3"/>
      <c r="Y67" s="3"/>
      <c r="Z67" s="3"/>
      <c r="AA67" s="3"/>
      <c r="AB67" s="3"/>
      <c r="AC67" s="3"/>
      <c r="AD67" s="3"/>
      <c r="AE67" s="3"/>
      <c r="AF67" s="3"/>
      <c r="AG67" s="3"/>
      <c r="AH67" s="3"/>
    </row>
    <row r="68" spans="1:34" ht="22.2">
      <c r="A68" s="41"/>
      <c r="B68" s="40" t="str">
        <f ca="1">B38</f>
        <v xml:space="preserve">Tantalum  </v>
      </c>
      <c r="C68" s="35"/>
      <c r="D68" s="326"/>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2">
      <c r="A69" s="41"/>
      <c r="B69" s="40" t="str">
        <f ca="1">B39</f>
        <v>Tin  (*)</v>
      </c>
      <c r="C69" s="35"/>
      <c r="D69" s="326" t="s">
        <v>475</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2">
      <c r="A70" s="41"/>
      <c r="B70" s="40" t="str">
        <f ca="1">B40</f>
        <v xml:space="preserve">Gold  </v>
      </c>
      <c r="C70" s="35"/>
      <c r="D70" s="326"/>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2">
      <c r="A71" s="38"/>
      <c r="B71" s="40" t="str">
        <f ca="1">B41</f>
        <v xml:space="preserve">Tungsten  </v>
      </c>
      <c r="C71" s="49"/>
      <c r="D71" s="326"/>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6.2">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2">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6.2">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2.4">
      <c r="A75" s="41"/>
      <c r="B75" s="56" t="str">
        <f ca="1">OFFSET(L!$C$1,MATCH("Declaration"&amp;ADDRESS(ROW(),COLUMN(),4),L!$A:$A,0)-1,SL,,)&amp;$Q$37</f>
        <v>A. Have you established a responsible minerals sourcing policy? (*)</v>
      </c>
      <c r="C75" s="57"/>
      <c r="D75" s="326" t="s">
        <v>475</v>
      </c>
      <c r="E75" s="327"/>
      <c r="F75" s="57"/>
      <c r="G75" s="334"/>
      <c r="H75" s="335"/>
      <c r="I75" s="335"/>
      <c r="J75" s="336"/>
      <c r="K75" s="36"/>
      <c r="L75" s="113" t="s">
        <v>1208</v>
      </c>
      <c r="M75" s="112"/>
      <c r="P75" s="3"/>
      <c r="Q75" s="3"/>
      <c r="R75" s="3"/>
      <c r="S75" s="3"/>
      <c r="T75" s="3"/>
      <c r="U75" s="3"/>
      <c r="V75" s="3"/>
      <c r="W75" s="3"/>
      <c r="X75" s="3"/>
      <c r="Y75" s="3"/>
      <c r="Z75" s="3"/>
      <c r="AA75" s="3"/>
      <c r="AB75" s="3"/>
      <c r="AC75" s="3"/>
      <c r="AD75" s="3"/>
      <c r="AE75" s="3"/>
      <c r="AF75" s="3"/>
      <c r="AG75" s="3"/>
      <c r="AH75" s="3"/>
    </row>
    <row r="76" spans="1:34" ht="16.2">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476</v>
      </c>
      <c r="E77" s="327"/>
      <c r="F77" s="57"/>
      <c r="G77" s="338"/>
      <c r="H77" s="339"/>
      <c r="I77" s="339"/>
      <c r="J77" s="340"/>
      <c r="K77" s="36"/>
      <c r="L77" s="113" t="s">
        <v>1209</v>
      </c>
      <c r="M77" s="112"/>
      <c r="P77" s="3"/>
      <c r="Q77" s="3"/>
      <c r="R77" s="3"/>
      <c r="S77" s="3"/>
      <c r="T77" s="3"/>
      <c r="U77" s="3"/>
      <c r="V77" s="3"/>
      <c r="W77" s="3"/>
      <c r="X77" s="3"/>
      <c r="Y77" s="3"/>
      <c r="Z77" s="3"/>
      <c r="AA77" s="3"/>
      <c r="AB77" s="3"/>
      <c r="AC77" s="3"/>
      <c r="AD77" s="3"/>
      <c r="AE77" s="3"/>
      <c r="AF77" s="3"/>
      <c r="AG77" s="3"/>
      <c r="AH77" s="3"/>
    </row>
    <row r="78" spans="1:34" ht="16.2">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475</v>
      </c>
      <c r="E79" s="327"/>
      <c r="F79" s="57"/>
      <c r="G79" s="334"/>
      <c r="H79" s="335"/>
      <c r="I79" s="335"/>
      <c r="J79" s="336"/>
      <c r="K79" s="36"/>
      <c r="L79" s="113" t="s">
        <v>1209</v>
      </c>
      <c r="M79" s="112"/>
      <c r="P79" s="3"/>
      <c r="Q79" s="3"/>
      <c r="R79" s="3"/>
      <c r="S79" s="3"/>
      <c r="T79" s="3"/>
      <c r="U79" s="3"/>
      <c r="V79" s="3"/>
      <c r="W79" s="3"/>
      <c r="X79" s="3"/>
      <c r="Y79" s="3"/>
      <c r="Z79" s="3"/>
      <c r="AA79" s="3"/>
      <c r="AB79" s="3"/>
      <c r="AC79" s="3"/>
      <c r="AD79" s="3"/>
      <c r="AE79" s="3"/>
      <c r="AF79" s="3"/>
      <c r="AG79" s="3"/>
      <c r="AH79" s="3"/>
    </row>
    <row r="80" spans="1:34" ht="16.2">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475</v>
      </c>
      <c r="E81" s="327"/>
      <c r="F81" s="57"/>
      <c r="G81" s="334"/>
      <c r="H81" s="335"/>
      <c r="I81" s="335"/>
      <c r="J81" s="336"/>
      <c r="K81" s="36"/>
      <c r="L81" s="113" t="s">
        <v>1268</v>
      </c>
      <c r="M81" s="112"/>
      <c r="P81" s="3"/>
      <c r="Q81" s="3"/>
      <c r="R81" s="3"/>
      <c r="S81" s="3"/>
      <c r="T81" s="3"/>
      <c r="U81" s="3"/>
      <c r="V81" s="3"/>
      <c r="W81" s="3"/>
      <c r="X81" s="3"/>
      <c r="Y81" s="3"/>
      <c r="Z81" s="3"/>
      <c r="AA81" s="3"/>
      <c r="AB81" s="3"/>
      <c r="AC81" s="3"/>
      <c r="AD81" s="3"/>
      <c r="AE81" s="3"/>
      <c r="AF81" s="3"/>
      <c r="AG81" s="3"/>
      <c r="AH81" s="3"/>
    </row>
    <row r="82" spans="1:34" ht="16.2">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14853</v>
      </c>
      <c r="E83" s="327"/>
      <c r="F83" s="57"/>
      <c r="G83" s="334"/>
      <c r="H83" s="335"/>
      <c r="I83" s="335"/>
      <c r="J83" s="336"/>
      <c r="K83" s="36"/>
      <c r="L83" s="113" t="s">
        <v>1209</v>
      </c>
      <c r="M83" s="112"/>
      <c r="P83" s="3"/>
      <c r="Q83" s="3"/>
      <c r="R83" s="3"/>
      <c r="S83" s="3"/>
      <c r="T83" s="3"/>
      <c r="U83" s="3"/>
      <c r="V83" s="3"/>
      <c r="W83" s="3"/>
      <c r="X83" s="3"/>
      <c r="Y83" s="3"/>
      <c r="Z83" s="3"/>
      <c r="AA83" s="3"/>
      <c r="AB83" s="3"/>
      <c r="AC83" s="3"/>
      <c r="AD83" s="3"/>
      <c r="AE83" s="3"/>
      <c r="AF83" s="3"/>
      <c r="AG83" s="3"/>
      <c r="AH83" s="3"/>
    </row>
    <row r="84" spans="1:34" ht="16.2">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475</v>
      </c>
      <c r="E85" s="380"/>
      <c r="F85" s="57"/>
      <c r="G85" s="334"/>
      <c r="H85" s="335"/>
      <c r="I85" s="335"/>
      <c r="J85" s="336"/>
      <c r="K85" s="36"/>
      <c r="L85" s="113" t="s">
        <v>1209</v>
      </c>
      <c r="M85" s="112"/>
      <c r="P85" s="3"/>
      <c r="Q85" s="3"/>
      <c r="R85" s="3"/>
      <c r="S85" s="3"/>
      <c r="T85" s="3"/>
      <c r="U85" s="3"/>
      <c r="V85" s="3"/>
      <c r="W85" s="3"/>
      <c r="X85" s="3"/>
      <c r="Y85" s="3"/>
      <c r="Z85" s="3"/>
      <c r="AA85" s="3"/>
      <c r="AB85" s="3"/>
      <c r="AC85" s="3"/>
      <c r="AD85" s="3"/>
      <c r="AE85" s="3"/>
      <c r="AF85" s="3"/>
      <c r="AG85" s="3"/>
      <c r="AH85" s="3"/>
    </row>
    <row r="86" spans="1:34" ht="16.2">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475</v>
      </c>
      <c r="E87" s="327"/>
      <c r="F87" s="57"/>
      <c r="G87" s="334"/>
      <c r="H87" s="335"/>
      <c r="I87" s="335"/>
      <c r="J87" s="336"/>
      <c r="K87" s="36"/>
      <c r="L87" s="113" t="s">
        <v>1207</v>
      </c>
      <c r="M87" s="112"/>
      <c r="P87" s="3"/>
      <c r="Q87" s="3"/>
      <c r="R87" s="3"/>
      <c r="S87" s="3"/>
      <c r="T87" s="3"/>
      <c r="U87" s="3"/>
      <c r="V87" s="3"/>
      <c r="W87" s="3"/>
      <c r="X87" s="3"/>
      <c r="Y87" s="3"/>
      <c r="Z87" s="3"/>
      <c r="AA87" s="3"/>
      <c r="AB87" s="3"/>
      <c r="AC87" s="3"/>
      <c r="AD87" s="3"/>
      <c r="AE87" s="3"/>
      <c r="AF87" s="3"/>
      <c r="AG87" s="3"/>
      <c r="AH87" s="3"/>
    </row>
    <row r="88" spans="1:34" ht="16.2">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2.4">
      <c r="A89" s="41"/>
      <c r="B89" s="56" t="str">
        <f ca="1">OFFSET(L!$C$1,MATCH("Declaration"&amp;ADDRESS(ROW(),COLUMN(),4),L!$A:$A,0)-1,SL,,)&amp;$Q$37</f>
        <v>H. Is your company required to file an annual conflict minerals disclosure? (*)</v>
      </c>
      <c r="C89" s="57"/>
      <c r="D89" s="326" t="s">
        <v>476</v>
      </c>
      <c r="E89" s="327"/>
      <c r="F89" s="57"/>
      <c r="G89" s="334"/>
      <c r="H89" s="335"/>
      <c r="I89" s="335"/>
      <c r="J89" s="336"/>
      <c r="K89" s="36"/>
      <c r="L89" s="113" t="s">
        <v>1209</v>
      </c>
      <c r="M89" s="112"/>
      <c r="P89" s="3"/>
      <c r="Q89" s="3"/>
      <c r="R89" s="3"/>
      <c r="S89" s="3"/>
      <c r="T89" s="3"/>
      <c r="U89" s="3"/>
      <c r="V89" s="3"/>
      <c r="W89" s="3"/>
      <c r="X89" s="3"/>
      <c r="Y89" s="3"/>
      <c r="Z89" s="3"/>
      <c r="AA89" s="3"/>
      <c r="AB89" s="3"/>
      <c r="AC89" s="3"/>
      <c r="AD89" s="3"/>
      <c r="AE89" s="3"/>
      <c r="AF89" s="3"/>
      <c r="AG89" s="3"/>
      <c r="AH89" s="3"/>
    </row>
    <row r="90" spans="1:34" ht="16.2">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6.8" thickBot="1">
      <c r="A91" s="376" t="str">
        <f ca="1">OFFSET(L!$C$1,MATCH("General"&amp;"Cpy",L!$A:$A,0)-1,SL,,)</f>
        <v>© 2025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6.8"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2" t="str">
        <f>IF(AND(OR($D$26="Yes",$D$26=""),OR($D$32="Yes",$D$32="")),"Yes","")</f>
        <v/>
      </c>
      <c r="E96" s="282" t="str">
        <f>IF(AND(OR($D$26="Yes",$D$26=""),OR($D$32="Yes",$D$32="")),"100%","")</f>
        <v/>
      </c>
      <c r="G96" s="282" t="str">
        <f>IF(OR($D$26="Yes",$D$26=""),"Yes","")</f>
        <v/>
      </c>
    </row>
    <row r="97" spans="2:7" ht="13.5" hidden="1" customHeight="1">
      <c r="B97" s="56" t="s">
        <v>476</v>
      </c>
      <c r="D97" s="282" t="str">
        <f>IF(AND(OR($D$26="Yes",$D$26=""),OR($D$32="Yes",$D$32="")),"No","")</f>
        <v/>
      </c>
      <c r="E97" s="282" t="str">
        <f>IF(AND(OR($D$26="Yes",$D$26=""),OR($D$32="Yes",$D$32="")),"Greater than 90%","")</f>
        <v/>
      </c>
      <c r="G97" s="282" t="str">
        <f>IF(OR($D$26="Yes",$D$26=""),"No","")</f>
        <v/>
      </c>
    </row>
    <row r="98" spans="2:7" ht="15" hidden="1">
      <c r="B98" s="56" t="s">
        <v>477</v>
      </c>
      <c r="D98" s="282" t="str">
        <f>IF(AND(OR($D$26="Yes",$D$26=""),OR($D$32="Yes",$D$32="")),"Unknown","")</f>
        <v/>
      </c>
      <c r="E98" s="282" t="str">
        <f>IF(AND(OR($D$26="Yes",$D$26=""),OR($D$32="Yes",$D$32="")),"Greater than 75%","")</f>
        <v/>
      </c>
      <c r="G98" s="282" t="str">
        <f>IF(OR($D$27="Yes",$D$27=""),"Yes","")</f>
        <v>Yes</v>
      </c>
    </row>
    <row r="99" spans="2:7" ht="15" hidden="1">
      <c r="B99" s="188">
        <v>1</v>
      </c>
      <c r="D99" s="282" t="str">
        <f>IF(AND(OR($D$27="Yes",$D$27=""),OR($D$33="Yes",$D$33="")),"Yes","")</f>
        <v>Yes</v>
      </c>
      <c r="E99" s="282" t="str">
        <f>IF(AND(OR($D$26="Yes",$D$26=""),OR($D$32="Yes",$D$32="")),"Greater than 50%","")</f>
        <v/>
      </c>
      <c r="G99" s="282" t="str">
        <f>IF(OR($D$27="Yes",$D$27=""),"No","")</f>
        <v>No</v>
      </c>
    </row>
    <row r="100" spans="2:7" ht="15" hidden="1">
      <c r="B100" s="236" t="s">
        <v>2432</v>
      </c>
      <c r="D100" s="282" t="str">
        <f>IF(AND(OR($D$27="Yes",$D$27=""),OR($D$33="Yes",$D$33="")),"No","")</f>
        <v>No</v>
      </c>
      <c r="E100" s="282" t="str">
        <f>IF(AND(OR($D$26="Yes",$D$26=""),OR($D$32="Yes",$D$32="")),"50% or less","")</f>
        <v/>
      </c>
      <c r="G100" s="282" t="str">
        <f>IF(OR($D$28="Yes",$D$28=""),"Yes","")</f>
        <v/>
      </c>
    </row>
    <row r="101" spans="2:7" ht="15" hidden="1">
      <c r="B101" s="236" t="s">
        <v>2433</v>
      </c>
      <c r="D101" s="282" t="str">
        <f>IF(AND(OR($D$27="Yes",$D$27=""),OR($D$33="Yes",$D$33="")),"Unknown","")</f>
        <v>Unknown</v>
      </c>
      <c r="E101" s="282" t="str">
        <f>IF(AND(OR($D$26="Yes",$D$26=""),OR($D$32="Yes",$D$32="")),"None","")</f>
        <v/>
      </c>
      <c r="G101" s="282" t="str">
        <f>IF(OR($D$28="Yes",$D$28=""),"No","")</f>
        <v/>
      </c>
    </row>
    <row r="102" spans="2:7" ht="15" hidden="1">
      <c r="B102" s="236" t="s">
        <v>2434</v>
      </c>
      <c r="D102" s="282" t="str">
        <f>IF(AND(OR($D$28="Yes",$D$28=""),OR($D$34="Yes",$D$34="")),"Yes","")</f>
        <v/>
      </c>
      <c r="E102" s="282" t="str">
        <f>IF(AND(OR($D$27="Yes",$D$27=""),OR($D$33="Yes",$D$33="")),"100%","")</f>
        <v>100%</v>
      </c>
      <c r="G102" s="282" t="str">
        <f>IF(OR($D$29="Yes",$D$29=""),"Yes","")</f>
        <v/>
      </c>
    </row>
    <row r="103" spans="2:7" ht="15" hidden="1">
      <c r="B103" s="236" t="s">
        <v>2435</v>
      </c>
      <c r="D103" s="282" t="str">
        <f>IF(AND(OR($D$28="Yes",$D$28=""),OR($D$34="Yes",$D$34="")),"No","")</f>
        <v/>
      </c>
      <c r="E103" s="282" t="str">
        <f>IF(AND(OR($D$27="Yes",$D$27=""),OR($D$33="Yes",$D$33="")),"Greater than 90%","")</f>
        <v>Greater than 90%</v>
      </c>
      <c r="G103" s="282" t="str">
        <f>IF(OR($D$29="Yes",$D$29=""),"No","")</f>
        <v/>
      </c>
    </row>
    <row r="104" spans="2:7" ht="15" hidden="1">
      <c r="B104" s="236" t="s">
        <v>478</v>
      </c>
      <c r="D104" s="282" t="str">
        <f>IF(AND(OR($D$28="Yes",$D$28=""),OR($D$34="Yes",$D$34="")),"Unknown","")</f>
        <v/>
      </c>
      <c r="E104" s="282" t="str">
        <f>IF(AND(OR($D$27="Yes",$D$27=""),OR($D$33="Yes",$D$33="")),"Greater than 75%","")</f>
        <v>Greater than 75%</v>
      </c>
    </row>
    <row r="105" spans="2:7" ht="15" hidden="1">
      <c r="B105" s="236" t="s">
        <v>14853</v>
      </c>
      <c r="D105" s="282" t="str">
        <f>IF(AND(OR($D$29="Yes",$D$29=""),OR($D$35="Yes",$D$35="")),"Yes","")</f>
        <v/>
      </c>
      <c r="E105" s="282" t="str">
        <f>IF(AND(OR($D$27="Yes",$D$27=""),OR($D$33="Yes",$D$33="")),"Greater than 50%","")</f>
        <v>Greater than 50%</v>
      </c>
    </row>
    <row r="106" spans="2:7" ht="15" hidden="1">
      <c r="B106" s="236" t="s">
        <v>12341</v>
      </c>
      <c r="D106" s="282" t="str">
        <f>IF(AND(OR($D$29="Yes",$D$29=""),OR($D$35="Yes",$D$35="")),"No","")</f>
        <v/>
      </c>
      <c r="E106" s="282" t="str">
        <f>IF(AND(OR($D$27="Yes",$D$27=""),OR($D$33="Yes",$D$33="")),"50% or less","")</f>
        <v>50% or less</v>
      </c>
    </row>
    <row r="107" spans="2:7" ht="15" hidden="1">
      <c r="B107" s="236" t="s">
        <v>476</v>
      </c>
      <c r="D107" s="282" t="str">
        <f>IF(AND(OR($D$29="Yes",$D$29=""),OR($D$35="Yes",$D$35="")),"Unknown","")</f>
        <v/>
      </c>
      <c r="E107" s="282" t="str">
        <f>IF(AND(OR($D$27="Yes",$D$27=""),OR($D$33="Yes",$D$33="")),"None","")</f>
        <v>None</v>
      </c>
    </row>
    <row r="108" spans="2:7" ht="15" hidden="1">
      <c r="B108" s="236" t="s">
        <v>13880</v>
      </c>
      <c r="E108" s="282" t="str">
        <f>IF(AND(OR($D$28="Yes",$D$28=""),OR($D$34="Yes",$D$34="")),"100%","")</f>
        <v/>
      </c>
    </row>
    <row r="109" spans="2:7" ht="15" hidden="1">
      <c r="B109" s="236" t="s">
        <v>13882</v>
      </c>
      <c r="E109" s="282" t="str">
        <f>IF(AND(OR($D$28="Yes",$D$28=""),OR($D$34="Yes",$D$34="")),"Greater than 90%","")</f>
        <v/>
      </c>
    </row>
    <row r="110" spans="2:7" ht="15" hidden="1">
      <c r="B110" s="236" t="s">
        <v>13883</v>
      </c>
      <c r="E110" s="282" t="str">
        <f>IF(AND(OR($D$28="Yes",$D$28=""),OR($D$34="Yes",$D$34="")),"Greater than 75%","")</f>
        <v/>
      </c>
    </row>
    <row r="111" spans="2:7" ht="15" hidden="1">
      <c r="B111" s="236" t="s">
        <v>476</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CnnVThHzk8ywbWtIdOOHJAeLEBx1PCPkfn0JPMkoH4B95Q1nlZf89WaXw4BSP2HItTskque0RrwhKbgKEaphA==" saltValue="jOwsr56iKk7W1FwAhJRSVQ=="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74" priority="159" stopIfTrue="1">
      <formula>IF($D$22="",TRUE)</formula>
    </cfRule>
  </conditionalFormatting>
  <conditionalFormatting sqref="D26:E26">
    <cfRule type="expression" dxfId="73" priority="137" stopIfTrue="1">
      <formula>IF($D$26="",TRUE)</formula>
    </cfRule>
  </conditionalFormatting>
  <conditionalFormatting sqref="D27:E27">
    <cfRule type="expression" dxfId="72" priority="144" stopIfTrue="1">
      <formula>IF($D$27="",TRUE)</formula>
    </cfRule>
  </conditionalFormatting>
  <conditionalFormatting sqref="D28:E28">
    <cfRule type="expression" dxfId="71" priority="145" stopIfTrue="1">
      <formula>IF($D$28="",TRUE)</formula>
    </cfRule>
  </conditionalFormatting>
  <conditionalFormatting sqref="D29:E29">
    <cfRule type="expression" dxfId="70" priority="146" stopIfTrue="1">
      <formula>IF($D$29="",TRUE)</formula>
    </cfRule>
  </conditionalFormatting>
  <conditionalFormatting sqref="D32:E32">
    <cfRule type="expression" dxfId="69" priority="55" stopIfTrue="1">
      <formula>IF(AND(OR($D$26="Yes",$D$26=""),$D$32=""),1,0)</formula>
    </cfRule>
    <cfRule type="expression" dxfId="68" priority="142" stopIfTrue="1">
      <formula>$P$26=""</formula>
    </cfRule>
  </conditionalFormatting>
  <conditionalFormatting sqref="D33:E33">
    <cfRule type="expression" dxfId="67" priority="43" stopIfTrue="1">
      <formula>$P$27=""</formula>
    </cfRule>
    <cfRule type="expression" dxfId="66" priority="42" stopIfTrue="1">
      <formula>IF(AND(OR($D$27="Yes",$D$27=""),$D$33=""),1,0)</formula>
    </cfRule>
  </conditionalFormatting>
  <conditionalFormatting sqref="D34:E34">
    <cfRule type="expression" dxfId="65" priority="1" stopIfTrue="1">
      <formula>IF(AND(OR($D$28="Yes",$D$28=""),$D$34=""),1,0)</formula>
    </cfRule>
    <cfRule type="expression" dxfId="64" priority="2" stopIfTrue="1">
      <formula>$P$28=""</formula>
    </cfRule>
  </conditionalFormatting>
  <conditionalFormatting sqref="D35:E35">
    <cfRule type="expression" dxfId="63" priority="39" stopIfTrue="1">
      <formula>IF(AND(OR($D$29="Yes",$D$29=""),$D$35=""),1,0)</formula>
    </cfRule>
    <cfRule type="expression" dxfId="62" priority="163" stopIfTrue="1">
      <formula>$P$29=""</formula>
    </cfRule>
  </conditionalFormatting>
  <conditionalFormatting sqref="D38:E38 D44:E44 D50:E50 D56:E56 D62:E62 D68:E68">
    <cfRule type="expression" dxfId="61" priority="18" stopIfTrue="1">
      <formula>$P$26=""</formula>
    </cfRule>
    <cfRule type="expression" dxfId="60" priority="19" stopIfTrue="1">
      <formula>$P$32=""</formula>
    </cfRule>
  </conditionalFormatting>
  <conditionalFormatting sqref="D38:E38">
    <cfRule type="expression" dxfId="59" priority="54" stopIfTrue="1">
      <formula>IF(AND(OR($D$26="Yes",$D$26=""),OR($D$32="Yes",$D$32=""),D38=""),1,0)</formula>
    </cfRule>
  </conditionalFormatting>
  <conditionalFormatting sqref="D39:E39 D45:E45 D51:E51 D57:E57 D63:E63 D69:E69">
    <cfRule type="expression" dxfId="58" priority="12" stopIfTrue="1">
      <formula>$P$33=""</formula>
    </cfRule>
    <cfRule type="expression" dxfId="57" priority="13" stopIfTrue="1">
      <formula>$P$39=""</formula>
    </cfRule>
  </conditionalFormatting>
  <conditionalFormatting sqref="D39:E39">
    <cfRule type="expression" dxfId="56" priority="50" stopIfTrue="1">
      <formula>IF(AND(OR($D$27="Yes",$D$27=""),OR($D$33="Yes",$D$33=""),D39=""),1,0)</formula>
    </cfRule>
  </conditionalFormatting>
  <conditionalFormatting sqref="D40:E40 D46:E46 D52:E52 D58:E58 D64:E64 D70:E70">
    <cfRule type="expression" dxfId="55" priority="7" stopIfTrue="1">
      <formula>$P$28=""</formula>
    </cfRule>
    <cfRule type="expression" dxfId="54" priority="8" stopIfTrue="1">
      <formula>$P$34=""</formula>
    </cfRule>
  </conditionalFormatting>
  <conditionalFormatting sqref="D40:E40">
    <cfRule type="expression" dxfId="53" priority="49" stopIfTrue="1">
      <formula>IF(AND(OR($D$28="Yes",$D$28=""),OR($D$34="Yes",$D$34=""),D40=""),1,0)</formula>
    </cfRule>
  </conditionalFormatting>
  <conditionalFormatting sqref="D41:E41 D47:E47 D53:E53 D59:E59 D65:E65 D71:E71">
    <cfRule type="expression" dxfId="52" priority="3" stopIfTrue="1">
      <formula>$P$29=""</formula>
    </cfRule>
    <cfRule type="expression" dxfId="51" priority="4" stopIfTrue="1">
      <formula>$P$35=""</formula>
    </cfRule>
  </conditionalFormatting>
  <conditionalFormatting sqref="D41:E41">
    <cfRule type="expression" dxfId="50" priority="165" stopIfTrue="1">
      <formula>IF(AND(OR($D$29="Yes",$D$29=""),OR($D$35="Yes",$D$35=""),D41=""),1,0)</formula>
    </cfRule>
  </conditionalFormatting>
  <conditionalFormatting sqref="D44:E44">
    <cfRule type="expression" dxfId="49" priority="53" stopIfTrue="1">
      <formula>IF(AND(OR($D$26="Yes",$D$26=""),OR($D$32="Yes",$D$32=""),D44=""),1,0)</formula>
    </cfRule>
  </conditionalFormatting>
  <conditionalFormatting sqref="D45:E45">
    <cfRule type="expression" dxfId="48" priority="15" stopIfTrue="1">
      <formula>IF(AND(OR($D$27="Yes",$D$27=""),OR($D$33="Yes",$D$33=""),D45=""),1,0)</formula>
    </cfRule>
  </conditionalFormatting>
  <conditionalFormatting sqref="D46:E46">
    <cfRule type="expression" dxfId="47" priority="40" stopIfTrue="1">
      <formula>IF(AND(OR($D$28="Yes",$D$28=""),OR($D$34="Yes",$D$34=""),D46=""),1,0)</formula>
    </cfRule>
  </conditionalFormatting>
  <conditionalFormatting sqref="D47:E47">
    <cfRule type="expression" dxfId="46" priority="48" stopIfTrue="1">
      <formula>IF(AND(OR($D$29="Yes",$D$29=""),OR($D$35="Yes",$D$35=""),D47=""),1,0)</formula>
    </cfRule>
  </conditionalFormatting>
  <conditionalFormatting sqref="D50:E50">
    <cfRule type="expression" dxfId="45" priority="21" stopIfTrue="1">
      <formula>IF(AND(OR($D$26="Yes",$D$26=""),OR($D$32="Yes",$D$32=""),D50=""),1,0)</formula>
    </cfRule>
  </conditionalFormatting>
  <conditionalFormatting sqref="D51:E51">
    <cfRule type="expression" dxfId="44" priority="160" stopIfTrue="1">
      <formula>IF(AND(OR($D$27="Yes",$D$27=""),OR($D$33="Yes",$D$33=""),D51=""),1,0)</formula>
    </cfRule>
  </conditionalFormatting>
  <conditionalFormatting sqref="D52:E52">
    <cfRule type="expression" dxfId="43" priority="11" stopIfTrue="1">
      <formula>IF(AND(OR($D$28="Yes",$D$28=""),OR($D$34="Yes",$D$34=""),D52=""),1,0)</formula>
    </cfRule>
  </conditionalFormatting>
  <conditionalFormatting sqref="D53:E53">
    <cfRule type="expression" dxfId="42" priority="34" stopIfTrue="1">
      <formula>IF(AND(OR($D$29="Yes",$D$29=""),OR($D$35="Yes",$D$35=""),D53=""),1,0)</formula>
    </cfRule>
  </conditionalFormatting>
  <conditionalFormatting sqref="D56:E56">
    <cfRule type="expression" dxfId="41" priority="29" stopIfTrue="1">
      <formula>IF(AND(OR($D$26="Yes",$D$26=""),OR($D$32="Yes",$D$32=""),D56=""),1,0)</formula>
    </cfRule>
  </conditionalFormatting>
  <conditionalFormatting sqref="D57:E57">
    <cfRule type="expression" dxfId="40" priority="17" stopIfTrue="1">
      <formula>IF(AND(OR($D$27="Yes",$D$27=""),OR($D$33="Yes",$D$33=""),D57=""),1,0)</formula>
    </cfRule>
  </conditionalFormatting>
  <conditionalFormatting sqref="D58:E58">
    <cfRule type="expression" dxfId="39" priority="10" stopIfTrue="1">
      <formula>IF(AND(OR($D$28="Yes",$D$28=""),OR($D$34="Yes",$D$34=""),D58=""),1,0)</formula>
    </cfRule>
  </conditionalFormatting>
  <conditionalFormatting sqref="D59:E59">
    <cfRule type="expression" dxfId="38" priority="6" stopIfTrue="1">
      <formula>IF(AND(OR($D$29="Yes",$D$29=""),OR($D$35="Yes",$D$35=""),D59=""),1,0)</formula>
    </cfRule>
  </conditionalFormatting>
  <conditionalFormatting sqref="D62:E62">
    <cfRule type="expression" dxfId="37" priority="28" stopIfTrue="1">
      <formula>IF(AND(OR($D$26="Yes",$D$26=""),OR($D$32="Yes",$D$32=""),D62=""),1,0)</formula>
    </cfRule>
  </conditionalFormatting>
  <conditionalFormatting sqref="D63:E63">
    <cfRule type="expression" dxfId="36" priority="14" stopIfTrue="1">
      <formula>IF(AND(OR($D$27="Yes",$D$27=""),OR($D$33="Yes",$D$33=""),D63=""),1,0)</formula>
    </cfRule>
  </conditionalFormatting>
  <conditionalFormatting sqref="D64:E64">
    <cfRule type="expression" dxfId="35" priority="9" stopIfTrue="1">
      <formula>IF(AND(OR($D$28="Yes",$D$28=""),OR($D$34="Yes",$D$34=""),D64=""),1,0)</formula>
    </cfRule>
  </conditionalFormatting>
  <conditionalFormatting sqref="D65:E65">
    <cfRule type="expression" dxfId="34" priority="5" stopIfTrue="1">
      <formula>IF(AND(OR($D$29="Yes",$D$29=""),OR($D$35="Yes",$D$35=""),D65=""),1,0)</formula>
    </cfRule>
  </conditionalFormatting>
  <conditionalFormatting sqref="D68:E68">
    <cfRule type="expression" dxfId="33" priority="20" stopIfTrue="1">
      <formula>IF(AND(OR($D$26="Yes",$D$26=""),OR($D$32="Yes",$D$32=""),D68=""),1,0)</formula>
    </cfRule>
  </conditionalFormatting>
  <conditionalFormatting sqref="D69:E69">
    <cfRule type="expression" dxfId="32" priority="16" stopIfTrue="1">
      <formula>IF(AND(OR($D$27="Yes",$D$27=""),OR($D$33="Yes",$D$33=""),D69=""),1,0)</formula>
    </cfRule>
  </conditionalFormatting>
  <conditionalFormatting sqref="D70:E70">
    <cfRule type="expression" dxfId="31" priority="162" stopIfTrue="1">
      <formula>IF(AND(OR($D$28="Yes",$D$28=""),OR($D$34="Yes",$D$34=""),D70=""),1,0)</formula>
    </cfRule>
  </conditionalFormatting>
  <conditionalFormatting sqref="D71:E71">
    <cfRule type="expression" dxfId="30" priority="164" stopIfTrue="1">
      <formula>IF(AND(OR($D$29="Yes",$D$29=""),OR($D$35="Yes",$D$35=""),D71=""),1,0)</formula>
    </cfRule>
  </conditionalFormatting>
  <conditionalFormatting sqref="D75:E75 D77:E77 D79:E79 D81:E81 D83 D85:E85 D87:E87 D89:E89">
    <cfRule type="expression" dxfId="29" priority="85" stopIfTrue="1">
      <formula>AND(OR($D$26="No",AND($D$26="Yes",$D$32="No")),OR($D$27="No",AND($D$27="Yes",$D$33="No")),OR($D$28="No",AND($D$28="Yes",$D$34="No")),OR($D$29="No",AND($D$29="Yes",$D$35="No")))</formula>
    </cfRule>
    <cfRule type="expression" dxfId="28" priority="86" stopIfTrue="1">
      <formula>IF(D75="",TRUE)</formula>
    </cfRule>
  </conditionalFormatting>
  <conditionalFormatting sqref="D9:G9">
    <cfRule type="expression" dxfId="27" priority="152" stopIfTrue="1">
      <formula>IF($D$9="",TRUE)</formula>
    </cfRule>
  </conditionalFormatting>
  <conditionalFormatting sqref="D8:J8">
    <cfRule type="expression" dxfId="26" priority="151" stopIfTrue="1">
      <formula>IF($D$8="",TRUE)</formula>
    </cfRule>
  </conditionalFormatting>
  <conditionalFormatting sqref="D10:J10">
    <cfRule type="expression" dxfId="25" priority="166" stopIfTrue="1">
      <formula>IF(AND($D$10="",$D$9=$R$9),TRUE)</formula>
    </cfRule>
    <cfRule type="expression" dxfId="24" priority="56" stopIfTrue="1">
      <formula>IF($D$9=$Q$9,TRUE)</formula>
    </cfRule>
  </conditionalFormatting>
  <conditionalFormatting sqref="D15:J15">
    <cfRule type="expression" dxfId="23" priority="153" stopIfTrue="1">
      <formula>IF($D$15="",TRUE)</formula>
    </cfRule>
  </conditionalFormatting>
  <conditionalFormatting sqref="D16:J16">
    <cfRule type="expression" dxfId="22" priority="154" stopIfTrue="1">
      <formula>IF($D$16="",TRUE)</formula>
    </cfRule>
  </conditionalFormatting>
  <conditionalFormatting sqref="D17:J17">
    <cfRule type="expression" dxfId="21" priority="22" stopIfTrue="1">
      <formula>IF($D$17="",TRUE)</formula>
    </cfRule>
  </conditionalFormatting>
  <conditionalFormatting sqref="D18:J18">
    <cfRule type="expression" dxfId="20" priority="156" stopIfTrue="1">
      <formula>IF($D$18="",TRUE)</formula>
    </cfRule>
  </conditionalFormatting>
  <conditionalFormatting sqref="D20:J20">
    <cfRule type="expression" dxfId="19" priority="35" stopIfTrue="1">
      <formula>IF($D$20="",TRUE)</formula>
    </cfRule>
  </conditionalFormatting>
  <conditionalFormatting sqref="G77:J77">
    <cfRule type="expression" dxfId="18" priority="57" stopIfTrue="1">
      <formula>IF(AND($D$77="Yes",$G$77=""),TRUE)</formula>
    </cfRule>
  </conditionalFormatting>
  <conditionalFormatting sqref="G85:J85">
    <cfRule type="expression" dxfId="17"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06F80500-EF3A-496B-A9F8-5232D09857E6}"/>
    <hyperlink ref="D20" r:id="rId4" xr:uid="{B960BE44-226C-47E2-B95C-2C3A9E6D5F0A}"/>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topLeftCell="M1" zoomScaleNormal="100" zoomScalePageLayoutView="55" workbookViewId="0">
      <selection activeCell="G6" sqref="G6"/>
    </sheetView>
  </sheetViews>
  <sheetFormatPr defaultColWidth="8.81640625" defaultRowHeight="12.6"/>
  <cols>
    <col min="1" max="1" width="13.6328125" style="227" customWidth="1"/>
    <col min="2" max="2" width="13.36328125" style="229" customWidth="1"/>
    <col min="3" max="3" width="40.6328125" style="229" customWidth="1"/>
    <col min="4" max="4" width="30.6328125" style="229" customWidth="1"/>
    <col min="5" max="5" width="20.81640625" style="229" customWidth="1"/>
    <col min="6" max="7" width="13.81640625" style="229" customWidth="1"/>
    <col min="8" max="8" width="25.1796875" style="229" customWidth="1"/>
    <col min="9" max="9" width="24.1796875" style="229" customWidth="1"/>
    <col min="10" max="10" width="18.36328125" style="229" customWidth="1"/>
    <col min="11" max="11" width="27.36328125" style="229" customWidth="1"/>
    <col min="12" max="12" width="20.6328125" style="229" customWidth="1"/>
    <col min="13" max="13" width="35.1796875" style="229" customWidth="1"/>
    <col min="14" max="14" width="42.1796875" style="229" customWidth="1"/>
    <col min="15" max="15" width="32.1796875" style="229" customWidth="1"/>
    <col min="16" max="16" width="22.81640625" style="229" customWidth="1"/>
    <col min="17" max="17" width="43.6328125" style="229" customWidth="1"/>
    <col min="18" max="18" width="35.81640625" style="229" hidden="1" customWidth="1"/>
    <col min="19" max="20" width="17.81640625" style="229" hidden="1" customWidth="1"/>
    <col min="21" max="21" width="8.81640625" style="229" hidden="1" customWidth="1"/>
    <col min="22" max="22" width="6.1796875" style="229" hidden="1" customWidth="1"/>
    <col min="23" max="23" width="8.6328125" style="229" hidden="1" customWidth="1"/>
    <col min="24" max="24" width="8.81640625" style="229" hidden="1" customWidth="1"/>
    <col min="25" max="27" width="4.36328125" style="229" hidden="1" customWidth="1"/>
    <col min="28" max="28" width="7.81640625" style="229" hidden="1" customWidth="1"/>
    <col min="29" max="33" width="4.36328125" style="229" hidden="1" customWidth="1"/>
    <col min="34" max="34" width="14.6328125" style="229" hidden="1" customWidth="1"/>
    <col min="35" max="39" width="8.81640625" style="229" customWidth="1"/>
    <col min="40" max="16384" width="8.81640625" style="229"/>
  </cols>
  <sheetData>
    <row r="1" spans="1:34" s="221" customFormat="1" ht="16.05"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8.2">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475</v>
      </c>
    </row>
    <row r="3" spans="1:34" s="221" customFormat="1" ht="177"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2025 Responsible Minerals Initiative. All rights reserved.</v>
      </c>
      <c r="H3" s="390"/>
      <c r="I3" s="391"/>
      <c r="J3" s="126"/>
      <c r="K3" s="127"/>
      <c r="M3" s="198"/>
      <c r="N3" s="198"/>
      <c r="O3" s="99"/>
      <c r="P3" s="99"/>
      <c r="Q3" s="199" t="s">
        <v>15733</v>
      </c>
      <c r="R3" s="216"/>
      <c r="S3" s="216"/>
      <c r="T3" s="216"/>
      <c r="W3" s="223" t="s">
        <v>1100</v>
      </c>
      <c r="X3" s="223" t="s">
        <v>1099</v>
      </c>
      <c r="Y3" s="223" t="s">
        <v>1101</v>
      </c>
      <c r="Z3" s="223" t="s">
        <v>1098</v>
      </c>
      <c r="AH3" s="145" t="s">
        <v>476</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12367</v>
      </c>
      <c r="S4" s="216" t="s">
        <v>12350</v>
      </c>
      <c r="T4" s="216" t="s">
        <v>12351</v>
      </c>
      <c r="U4" s="200"/>
      <c r="W4" s="159" t="s">
        <v>1290</v>
      </c>
      <c r="X4" s="159" t="s">
        <v>912</v>
      </c>
      <c r="AH4" s="145" t="s">
        <v>477</v>
      </c>
    </row>
    <row r="5" spans="1:34" s="227" customFormat="1" ht="19.95" customHeight="1">
      <c r="A5" s="262" t="s">
        <v>753</v>
      </c>
      <c r="B5" s="182" t="s">
        <v>1099</v>
      </c>
      <c r="C5" s="186" t="str">
        <f ca="1">IF(LEN(A5)=0,"",INDEX('Smelter Look-up'!$C:$C,MATCH($A5,'Smelter Look-up'!$E:$E,0)))</f>
        <v>Mineracao Taboca S.A.</v>
      </c>
      <c r="D5" s="230" t="s">
        <v>12377</v>
      </c>
      <c r="E5" s="182" t="str">
        <f ca="1">IF(ISERROR($V5),"",OFFSET('Smelter Look-up'!$D$4,$V5-4,0)&amp;"")</f>
        <v>BRAZIL</v>
      </c>
      <c r="F5" s="182" t="str">
        <f ca="1">IF(ISERROR($V5),"",OFFSET('Smelter Look-up'!$E$4,$V5-4,0))</f>
        <v>CID001173</v>
      </c>
      <c r="G5" s="182" t="str">
        <f ca="1">IF(C5=$X$4,IF(ISERROR($V5),"Enter smelter details","RMI"),IF(ISERROR($V5),"",OFFSET('Smelter Look-up'!$F$4,$V5-4,0)))</f>
        <v>RMI</v>
      </c>
      <c r="H5" s="183">
        <f ca="1">IF(ISERROR($V5),"",OFFSET('Smelter Look-up'!$G$4,$V5-4,0))</f>
        <v>0</v>
      </c>
      <c r="I5" s="184" t="str">
        <f ca="1">IF(ISERROR($V5),"",OFFSET('Smelter Look-up'!$H$4,$V5-4,0))</f>
        <v>Pirapora de Bom Jesus</v>
      </c>
      <c r="J5" s="184" t="str">
        <f ca="1">IF(ISERROR($V5),"",OFFSET('Smelter Look-up'!$I$4,$V5-4,0))</f>
        <v>São Paulo</v>
      </c>
      <c r="K5" s="224"/>
      <c r="L5" s="224"/>
      <c r="M5" s="224"/>
      <c r="N5" s="224"/>
      <c r="O5" s="224"/>
      <c r="P5" s="185"/>
      <c r="Q5" s="225"/>
      <c r="R5" s="182" t="str">
        <f ca="1">IF(ISERROR($V5),"",OFFSET('Smelter Look-up'!$C$4,$V5-4,0)&amp;"")</f>
        <v>Mineracao Taboca S.A.</v>
      </c>
      <c r="S5" s="181" t="str">
        <f ca="1">IF(B5="","",IF(ISERROR(MATCH($E5,CL,0)),"Unknown",INDIRECT("'C'!$A$"&amp;MATCH($E5,CL,0)+1)))</f>
        <v>BR</v>
      </c>
      <c r="T5" s="181" t="str">
        <f ca="1">IF(B5="","",IF(ISERROR(MATCH($J5,SorP!$B$1:$B$6226,0)),"",INDIRECT("'SorP'!$A$"&amp;MATCH($S5&amp;$J5,SorP!C:C,0))))</f>
        <v>BR-SP</v>
      </c>
      <c r="U5" s="201"/>
      <c r="V5" s="226">
        <f ca="1">IF(C5="",NA(),IF(OR(C5="Smelter not listed",C5="Smelter not yet identified"),MATCH($B5&amp;$D5,'Smelter Look-up'!$J:$J,0),MATCH($B5&amp;$C5,'Smelter Look-up'!$J:$J,0)))</f>
        <v>476</v>
      </c>
      <c r="X5" s="227">
        <f t="shared" ref="X5" ca="1" si="0">IF(AND(C5="Smelter not listed",OR(LEN(D5)=0,LEN(E5)=0)),1,0)</f>
        <v>0</v>
      </c>
      <c r="AB5" s="228" t="str">
        <f t="shared" ref="AB5" ca="1" si="1">B5&amp;C5</f>
        <v>TinMineracao Taboca S.A.</v>
      </c>
    </row>
    <row r="6" spans="1:34" s="227" customFormat="1" ht="19.95" customHeight="1">
      <c r="A6" s="262" t="s">
        <v>754</v>
      </c>
      <c r="B6" s="182" t="str">
        <f ca="1">IF(LEN(A6)=0,"",INDEX('Smelter Look-up'!$A:$A,MATCH($A6,'Smelter Look-up'!$E:$E,0)))</f>
        <v>Tin</v>
      </c>
      <c r="C6" s="186" t="str">
        <f ca="1">IF(LEN(A6)=0,"",INDEX('Smelter Look-up'!$C:$C,MATCH($A6,'Smelter Look-up'!$E:$E,0)))</f>
        <v>Minsur</v>
      </c>
      <c r="D6" s="230" t="s">
        <v>1003</v>
      </c>
      <c r="E6" s="182" t="str">
        <f ca="1">IF(ISERROR($V6),"",OFFSET('Smelter Look-up'!$D$4,$V6-4,0)&amp;"")</f>
        <v>PERU</v>
      </c>
      <c r="F6" s="182" t="str">
        <f ca="1">IF(ISERROR($V6),"",OFFSET('Smelter Look-up'!$E$4,$V6-4,0))</f>
        <v>CID001182</v>
      </c>
      <c r="G6" s="182" t="str">
        <f ca="1">IF(C6=$X$4,IF(ISERROR($V6),"Enter smelter details","RMI"),IF(ISERROR($V6),"",OFFSET('Smelter Look-up'!$F$4,$V6-4,0)))</f>
        <v>RMI</v>
      </c>
      <c r="H6" s="183">
        <f ca="1">IF(ISERROR($V6),"",OFFSET('Smelter Look-up'!$G$4,$V6-4,0))</f>
        <v>0</v>
      </c>
      <c r="I6" s="184" t="str">
        <f ca="1">IF(ISERROR($V6),"",OFFSET('Smelter Look-up'!$H$4,$V6-4,0))</f>
        <v>Paracas</v>
      </c>
      <c r="J6" s="184" t="str">
        <f ca="1">IF(ISERROR($V6),"",OFFSET('Smelter Look-up'!$I$4,$V6-4,0))</f>
        <v>Ika</v>
      </c>
      <c r="K6" s="224"/>
      <c r="L6" s="224"/>
      <c r="M6" s="224"/>
      <c r="N6" s="224"/>
      <c r="O6" s="224"/>
      <c r="P6" s="185"/>
      <c r="Q6" s="225"/>
      <c r="R6" s="182" t="str">
        <f ca="1">IF(ISERROR($V6),"",OFFSET('Smelter Look-up'!$C$4,$V6-4,0)&amp;"")</f>
        <v>Minsur</v>
      </c>
      <c r="S6" s="181" t="str">
        <f t="shared" ref="S6:S37" ca="1" si="2">IF(B6="","",IF(ISERROR(MATCH($E6,CL,0)),"Unknown",INDIRECT("'C'!$A$"&amp;MATCH($E6,CL,0)+1)))</f>
        <v>PE</v>
      </c>
      <c r="T6" s="181" t="str">
        <f ca="1">IF(B6="","",IF(ISERROR(MATCH($J6,SorP!$B$1:$B$6226,0)),"",INDIRECT("'SorP'!$A$"&amp;MATCH($S6&amp;$J6,SorP!C:C,0))))</f>
        <v>PE-ICA</v>
      </c>
      <c r="U6" s="201"/>
      <c r="V6" s="226">
        <f ca="1">IF(C6="",NA(),IF(OR(C6="Smelter not listed",C6="Smelter not yet identified"),MATCH($B6&amp;$D6,'Smelter Look-up'!$J:$J,0),MATCH($B6&amp;$C6,'Smelter Look-up'!$J:$J,0)))</f>
        <v>481</v>
      </c>
      <c r="X6" s="227">
        <f t="shared" ref="X6:X37" ca="1" si="3">IF(AND(C6="Smelter not listed",OR(LEN(D6)=0,LEN(E6)=0)),1,0)</f>
        <v>0</v>
      </c>
      <c r="AB6" s="228" t="str">
        <f t="shared" ref="AB6:AB37" ca="1" si="4">B6&amp;C6</f>
        <v>TinMinsur</v>
      </c>
    </row>
    <row r="7" spans="1:34" s="227" customFormat="1" ht="19.95" customHeight="1">
      <c r="A7" s="262"/>
      <c r="B7" s="182" t="str">
        <f>IF(LEN(A7)=0,"",INDEX('Smelter Look-up'!$A:$A,MATCH($A7,'Smelter Look-up'!$E:$E,0)))</f>
        <v/>
      </c>
      <c r="C7" s="186" t="str">
        <f>IF(LEN(A7)=0,"",INDEX('Smelter Look-up'!$C:$C,MATCH($A7,'Smelter Look-up'!$E:$E,0)))</f>
        <v/>
      </c>
      <c r="D7" s="230"/>
      <c r="E7" s="182" t="str">
        <f ca="1">IF(ISERROR($V7),"",OFFSET('Smelter Look-up'!$D$4,$V7-4,0)&amp;"")</f>
        <v/>
      </c>
      <c r="F7" s="182" t="str">
        <f ca="1">IF(ISERROR($V7),"",OFFSET('Smelter Look-up'!$E$4,$V7-4,0))</f>
        <v/>
      </c>
      <c r="G7" s="182" t="str">
        <f ca="1">IF(C7=$X$4,IF(ISERROR($V7),"Enter smelter details","RMI"),IF(ISERROR($V7),"",OFFSET('Smelter Look-up'!$F$4,$V7-4,0)))</f>
        <v/>
      </c>
      <c r="H7" s="183" t="str">
        <f ca="1">IF(ISERROR($V7),"",OFFSET('Smelter Look-up'!$G$4,$V7-4,0))</f>
        <v/>
      </c>
      <c r="I7" s="184" t="str">
        <f ca="1">IF(ISERROR($V7),"",OFFSET('Smelter Look-up'!$H$4,$V7-4,0))</f>
        <v/>
      </c>
      <c r="J7" s="184" t="str">
        <f ca="1">IF(ISERROR($V7),"",OFFSET('Smelter Look-up'!$I$4,$V7-4,0))</f>
        <v/>
      </c>
      <c r="K7" s="224"/>
      <c r="L7" s="224"/>
      <c r="M7" s="224"/>
      <c r="N7" s="224"/>
      <c r="O7" s="224"/>
      <c r="P7" s="185"/>
      <c r="Q7" s="225"/>
      <c r="R7" s="182" t="str">
        <f ca="1">IF(ISERROR($V7),"",OFFSET('Smelter Look-up'!$C$4,$V7-4,0)&amp;"")</f>
        <v/>
      </c>
      <c r="S7" s="181" t="str">
        <f t="shared" ca="1" si="2"/>
        <v/>
      </c>
      <c r="T7" s="181" t="str">
        <f ca="1">IF(B7="","",IF(ISERROR(MATCH($J7,SorP!$B$1:$B$6226,0)),"",INDIRECT("'SorP'!$A$"&amp;MATCH($S7&amp;$J7,SorP!C:C,0))))</f>
        <v/>
      </c>
      <c r="U7" s="201"/>
      <c r="V7" s="226" t="e">
        <f>IF(C7="",NA(),IF(OR(C7="Smelter not listed",C7="Smelter not yet identified"),MATCH($B7&amp;$D7,'Smelter Look-up'!$J:$J,0),MATCH($B7&amp;$C7,'Smelter Look-up'!$J:$J,0)))</f>
        <v>#N/A</v>
      </c>
      <c r="X7" s="227">
        <f t="shared" ca="1" si="3"/>
        <v>0</v>
      </c>
      <c r="AB7" s="228" t="str">
        <f t="shared" si="4"/>
        <v/>
      </c>
    </row>
    <row r="8" spans="1:34" s="227" customFormat="1" ht="19.95" customHeight="1">
      <c r="A8" s="262"/>
      <c r="B8" s="182" t="str">
        <f>IF(LEN(A8)=0,"",INDEX('Smelter Look-up'!$A:$A,MATCH($A8,'Smelter Look-up'!$E:$E,0)))</f>
        <v/>
      </c>
      <c r="C8" s="186" t="str">
        <f>IF(LEN(A8)=0,"",INDEX('Smelter Look-up'!$C:$C,MATCH($A8,'Smelter Look-up'!$E:$E,0)))</f>
        <v/>
      </c>
      <c r="D8" s="230"/>
      <c r="E8" s="182" t="str">
        <f ca="1">IF(ISERROR($V8),"",OFFSET('Smelter Look-up'!$D$4,$V8-4,0)&amp;"")</f>
        <v/>
      </c>
      <c r="F8" s="182" t="str">
        <f ca="1">IF(ISERROR($V8),"",OFFSET('Smelter Look-up'!$E$4,$V8-4,0))</f>
        <v/>
      </c>
      <c r="G8" s="182" t="str">
        <f ca="1">IF(C8=$X$4,IF(ISERROR($V8),"Enter smelter details","RMI"),IF(ISERROR($V8),"",OFFSET('Smelter Look-up'!$F$4,$V8-4,0)))</f>
        <v/>
      </c>
      <c r="H8" s="183" t="str">
        <f ca="1">IF(ISERROR($V8),"",OFFSET('Smelter Look-up'!$G$4,$V8-4,0))</f>
        <v/>
      </c>
      <c r="I8" s="184" t="str">
        <f ca="1">IF(ISERROR($V8),"",OFFSET('Smelter Look-up'!$H$4,$V8-4,0))</f>
        <v/>
      </c>
      <c r="J8" s="184" t="str">
        <f ca="1">IF(ISERROR($V8),"",OFFSET('Smelter Look-up'!$I$4,$V8-4,0))</f>
        <v/>
      </c>
      <c r="K8" s="224"/>
      <c r="L8" s="224"/>
      <c r="M8" s="224"/>
      <c r="N8" s="224"/>
      <c r="O8" s="224"/>
      <c r="P8" s="185"/>
      <c r="Q8" s="225"/>
      <c r="R8" s="182" t="str">
        <f ca="1">IF(ISERROR($V8),"",OFFSET('Smelter Look-up'!$C$4,$V8-4,0)&amp;"")</f>
        <v/>
      </c>
      <c r="S8" s="181" t="str">
        <f t="shared" ca="1" si="2"/>
        <v/>
      </c>
      <c r="T8" s="181" t="str">
        <f ca="1">IF(B8="","",IF(ISERROR(MATCH($J8,SorP!$B$1:$B$6226,0)),"",INDIRECT("'SorP'!$A$"&amp;MATCH($S8&amp;$J8,SorP!C:C,0))))</f>
        <v/>
      </c>
      <c r="U8" s="201"/>
      <c r="V8" s="226" t="e">
        <f>IF(C8="",NA(),IF(OR(C8="Smelter not listed",C8="Smelter not yet identified"),MATCH($B8&amp;$D8,'Smelter Look-up'!$J:$J,0),MATCH($B8&amp;$C8,'Smelter Look-up'!$J:$J,0)))</f>
        <v>#N/A</v>
      </c>
      <c r="X8" s="227">
        <f t="shared" ca="1" si="3"/>
        <v>0</v>
      </c>
      <c r="AB8" s="228" t="str">
        <f t="shared" si="4"/>
        <v/>
      </c>
    </row>
    <row r="9" spans="1:34" s="227" customFormat="1" ht="19.95" customHeight="1">
      <c r="A9" s="262"/>
      <c r="B9" s="182" t="str">
        <f>IF(LEN(A9)=0,"",INDEX('Smelter Look-up'!$A:$A,MATCH($A9,'Smelter Look-up'!$E:$E,0)))</f>
        <v/>
      </c>
      <c r="C9" s="186" t="str">
        <f>IF(LEN(A9)=0,"",INDEX('Smelter Look-up'!$C:$C,MATCH($A9,'Smelter Look-up'!$E:$E,0)))</f>
        <v/>
      </c>
      <c r="D9" s="230"/>
      <c r="E9" s="182" t="str">
        <f ca="1">IF(ISERROR($V9),"",OFFSET('Smelter Look-up'!$D$4,$V9-4,0)&amp;"")</f>
        <v/>
      </c>
      <c r="F9" s="182" t="str">
        <f ca="1">IF(ISERROR($V9),"",OFFSET('Smelter Look-up'!$E$4,$V9-4,0))</f>
        <v/>
      </c>
      <c r="G9" s="182" t="str">
        <f ca="1">IF(C9=$X$4,IF(ISERROR($V9),"Enter smelter details","RMI"),IF(ISERROR($V9),"",OFFSET('Smelter Look-up'!$F$4,$V9-4,0)))</f>
        <v/>
      </c>
      <c r="H9" s="183" t="str">
        <f ca="1">IF(ISERROR($V9),"",OFFSET('Smelter Look-up'!$G$4,$V9-4,0))</f>
        <v/>
      </c>
      <c r="I9" s="184" t="str">
        <f ca="1">IF(ISERROR($V9),"",OFFSET('Smelter Look-up'!$H$4,$V9-4,0))</f>
        <v/>
      </c>
      <c r="J9" s="184" t="str">
        <f ca="1">IF(ISERROR($V9),"",OFFSET('Smelter Look-up'!$I$4,$V9-4,0))</f>
        <v/>
      </c>
      <c r="K9" s="224"/>
      <c r="L9" s="224"/>
      <c r="M9" s="224"/>
      <c r="N9" s="224"/>
      <c r="O9" s="224"/>
      <c r="P9" s="185"/>
      <c r="Q9" s="225"/>
      <c r="R9" s="182" t="str">
        <f ca="1">IF(ISERROR($V9),"",OFFSET('Smelter Look-up'!$C$4,$V9-4,0)&amp;"")</f>
        <v/>
      </c>
      <c r="S9" s="181" t="str">
        <f t="shared" ca="1" si="2"/>
        <v/>
      </c>
      <c r="T9" s="181" t="str">
        <f ca="1">IF(B9="","",IF(ISERROR(MATCH($J9,SorP!$B$1:$B$6226,0)),"",INDIRECT("'SorP'!$A$"&amp;MATCH($S9&amp;$J9,SorP!C:C,0))))</f>
        <v/>
      </c>
      <c r="U9" s="201"/>
      <c r="V9" s="226" t="e">
        <f>IF(C9="",NA(),IF(OR(C9="Smelter not listed",C9="Smelter not yet identified"),MATCH($B9&amp;$D9,'Smelter Look-up'!$J:$J,0),MATCH($B9&amp;$C9,'Smelter Look-up'!$J:$J,0)))</f>
        <v>#N/A</v>
      </c>
      <c r="X9" s="227">
        <f t="shared" ca="1" si="3"/>
        <v>0</v>
      </c>
      <c r="AB9" s="228" t="str">
        <f t="shared" si="4"/>
        <v/>
      </c>
    </row>
    <row r="10" spans="1:34" s="227" customFormat="1" ht="19.95" customHeight="1">
      <c r="A10" s="262"/>
      <c r="B10" s="182" t="str">
        <f>IF(LEN(A10)=0,"",INDEX('Smelter Look-up'!$A:$A,MATCH($A10,'Smelter Look-up'!$E:$E,0)))</f>
        <v/>
      </c>
      <c r="C10" s="186" t="str">
        <f>IF(LEN(A10)=0,"",INDEX('Smelter Look-up'!$C:$C,MATCH($A10,'Smelter Look-up'!$E:$E,0)))</f>
        <v/>
      </c>
      <c r="D10" s="230"/>
      <c r="E10" s="182" t="str">
        <f ca="1">IF(ISERROR($V10),"",OFFSET('Smelter Look-up'!$D$4,$V10-4,0)&amp;"")</f>
        <v/>
      </c>
      <c r="F10" s="182" t="str">
        <f ca="1">IF(ISERROR($V10),"",OFFSET('Smelter Look-up'!$E$4,$V10-4,0))</f>
        <v/>
      </c>
      <c r="G10" s="182" t="str">
        <f ca="1">IF(C10=$X$4,IF(ISERROR($V10),"Enter smelter details","RMI"),IF(ISERROR($V10),"",OFFSET('Smelter Look-up'!$F$4,$V10-4,0)))</f>
        <v/>
      </c>
      <c r="H10" s="183" t="str">
        <f ca="1">IF(ISERROR($V10),"",OFFSET('Smelter Look-up'!$G$4,$V10-4,0))</f>
        <v/>
      </c>
      <c r="I10" s="184" t="str">
        <f ca="1">IF(ISERROR($V10),"",OFFSET('Smelter Look-up'!$H$4,$V10-4,0))</f>
        <v/>
      </c>
      <c r="J10" s="184" t="str">
        <f ca="1">IF(ISERROR($V10),"",OFFSET('Smelter Look-up'!$I$4,$V10-4,0))</f>
        <v/>
      </c>
      <c r="K10" s="224"/>
      <c r="L10" s="224"/>
      <c r="M10" s="224"/>
      <c r="N10" s="224"/>
      <c r="O10" s="224"/>
      <c r="P10" s="185"/>
      <c r="Q10" s="225"/>
      <c r="R10" s="182" t="str">
        <f ca="1">IF(ISERROR($V10),"",OFFSET('Smelter Look-up'!$C$4,$V10-4,0)&amp;"")</f>
        <v/>
      </c>
      <c r="S10" s="181" t="str">
        <f t="shared" ca="1" si="2"/>
        <v/>
      </c>
      <c r="T10" s="181" t="str">
        <f ca="1">IF(B10="","",IF(ISERROR(MATCH($J10,SorP!$B$1:$B$6226,0)),"",INDIRECT("'SorP'!$A$"&amp;MATCH($S10&amp;$J10,SorP!C:C,0))))</f>
        <v/>
      </c>
      <c r="U10" s="201"/>
      <c r="V10" s="226" t="e">
        <f>IF(C10="",NA(),IF(OR(C10="Smelter not listed",C10="Smelter not yet identified"),MATCH($B10&amp;$D10,'Smelter Look-up'!$J:$J,0),MATCH($B10&amp;$C10,'Smelter Look-up'!$J:$J,0)))</f>
        <v>#N/A</v>
      </c>
      <c r="X10" s="227">
        <f t="shared" ca="1" si="3"/>
        <v>0</v>
      </c>
      <c r="AB10" s="228" t="str">
        <f t="shared" si="4"/>
        <v/>
      </c>
    </row>
    <row r="11" spans="1:34" s="227" customFormat="1" ht="19.95" customHeight="1">
      <c r="A11" s="262"/>
      <c r="B11" s="182" t="str">
        <f>IF(LEN(A11)=0,"",INDEX('Smelter Look-up'!$A:$A,MATCH($A11,'Smelter Look-up'!$E:$E,0)))</f>
        <v/>
      </c>
      <c r="C11" s="186" t="str">
        <f>IF(LEN(A11)=0,"",INDEX('Smelter Look-up'!$C:$C,MATCH($A11,'Smelter Look-up'!$E:$E,0)))</f>
        <v/>
      </c>
      <c r="D11" s="230"/>
      <c r="E11" s="182" t="str">
        <f ca="1">IF(ISERROR($V11),"",OFFSET('Smelter Look-up'!$D$4,$V11-4,0)&amp;"")</f>
        <v/>
      </c>
      <c r="F11" s="182" t="str">
        <f ca="1">IF(ISERROR($V11),"",OFFSET('Smelter Look-up'!$E$4,$V11-4,0))</f>
        <v/>
      </c>
      <c r="G11" s="182" t="str">
        <f ca="1">IF(C11=$X$4,IF(ISERROR($V11),"Enter smelter details","RMI"),IF(ISERROR($V11),"",OFFSET('Smelter Look-up'!$F$4,$V11-4,0)))</f>
        <v/>
      </c>
      <c r="H11" s="183" t="str">
        <f ca="1">IF(ISERROR($V11),"",OFFSET('Smelter Look-up'!$G$4,$V11-4,0))</f>
        <v/>
      </c>
      <c r="I11" s="184" t="str">
        <f ca="1">IF(ISERROR($V11),"",OFFSET('Smelter Look-up'!$H$4,$V11-4,0))</f>
        <v/>
      </c>
      <c r="J11" s="184" t="str">
        <f ca="1">IF(ISERROR($V11),"",OFFSET('Smelter Look-up'!$I$4,$V11-4,0))</f>
        <v/>
      </c>
      <c r="K11" s="224"/>
      <c r="L11" s="224"/>
      <c r="M11" s="224"/>
      <c r="N11" s="224"/>
      <c r="O11" s="224"/>
      <c r="P11" s="185"/>
      <c r="Q11" s="225"/>
      <c r="R11" s="182" t="str">
        <f ca="1">IF(ISERROR($V11),"",OFFSET('Smelter Look-up'!$C$4,$V11-4,0)&amp;"")</f>
        <v/>
      </c>
      <c r="S11" s="181" t="str">
        <f t="shared" ca="1" si="2"/>
        <v/>
      </c>
      <c r="T11" s="181" t="str">
        <f ca="1">IF(B11="","",IF(ISERROR(MATCH($J11,SorP!$B$1:$B$6226,0)),"",INDIRECT("'SorP'!$A$"&amp;MATCH($S11&amp;$J11,SorP!C:C,0))))</f>
        <v/>
      </c>
      <c r="U11" s="201"/>
      <c r="V11" s="226" t="e">
        <f>IF(C11="",NA(),IF(OR(C11="Smelter not listed",C11="Smelter not yet identified"),MATCH($B11&amp;$D11,'Smelter Look-up'!$J:$J,0),MATCH($B11&amp;$C11,'Smelter Look-up'!$J:$J,0)))</f>
        <v>#N/A</v>
      </c>
      <c r="X11" s="227">
        <f t="shared" ca="1" si="3"/>
        <v>0</v>
      </c>
      <c r="AB11" s="228" t="str">
        <f t="shared" si="4"/>
        <v/>
      </c>
    </row>
    <row r="12" spans="1:34" s="227" customFormat="1" ht="19.95" customHeight="1">
      <c r="A12" s="262"/>
      <c r="B12" s="182" t="str">
        <f>IF(LEN(A12)=0,"",INDEX('Smelter Look-up'!$A:$A,MATCH($A12,'Smelter Look-up'!$E:$E,0)))</f>
        <v/>
      </c>
      <c r="C12" s="186" t="str">
        <f>IF(LEN(A12)=0,"",INDEX('Smelter Look-up'!$C:$C,MATCH($A12,'Smelter Look-up'!$E:$E,0)))</f>
        <v/>
      </c>
      <c r="D12" s="230"/>
      <c r="E12" s="182" t="str">
        <f ca="1">IF(ISERROR($V12),"",OFFSET('Smelter Look-up'!$D$4,$V12-4,0)&amp;"")</f>
        <v/>
      </c>
      <c r="F12" s="182" t="str">
        <f ca="1">IF(ISERROR($V12),"",OFFSET('Smelter Look-up'!$E$4,$V12-4,0))</f>
        <v/>
      </c>
      <c r="G12" s="182" t="str">
        <f ca="1">IF(C12=$X$4,IF(ISERROR($V12),"Enter smelter details","RMI"),IF(ISERROR($V12),"",OFFSET('Smelter Look-up'!$F$4,$V12-4,0)))</f>
        <v/>
      </c>
      <c r="H12" s="183" t="str">
        <f ca="1">IF(ISERROR($V12),"",OFFSET('Smelter Look-up'!$G$4,$V12-4,0))</f>
        <v/>
      </c>
      <c r="I12" s="184" t="str">
        <f ca="1">IF(ISERROR($V12),"",OFFSET('Smelter Look-up'!$H$4,$V12-4,0))</f>
        <v/>
      </c>
      <c r="J12" s="184" t="str">
        <f ca="1">IF(ISERROR($V12),"",OFFSET('Smelter Look-up'!$I$4,$V12-4,0))</f>
        <v/>
      </c>
      <c r="K12" s="224"/>
      <c r="L12" s="224"/>
      <c r="M12" s="224"/>
      <c r="N12" s="224"/>
      <c r="O12" s="224"/>
      <c r="P12" s="185"/>
      <c r="Q12" s="225"/>
      <c r="R12" s="182" t="str">
        <f ca="1">IF(ISERROR($V12),"",OFFSET('Smelter Look-up'!$C$4,$V12-4,0)&amp;"")</f>
        <v/>
      </c>
      <c r="S12" s="181" t="str">
        <f t="shared" ca="1" si="2"/>
        <v/>
      </c>
      <c r="T12" s="181" t="str">
        <f ca="1">IF(B12="","",IF(ISERROR(MATCH($J12,SorP!$B$1:$B$6226,0)),"",INDIRECT("'SorP'!$A$"&amp;MATCH($S12&amp;$J12,SorP!C:C,0))))</f>
        <v/>
      </c>
      <c r="U12" s="201"/>
      <c r="V12" s="226" t="e">
        <f>IF(C12="",NA(),IF(OR(C12="Smelter not listed",C12="Smelter not yet identified"),MATCH($B12&amp;$D12,'Smelter Look-up'!$J:$J,0),MATCH($B12&amp;$C12,'Smelter Look-up'!$J:$J,0)))</f>
        <v>#N/A</v>
      </c>
      <c r="X12" s="227">
        <f t="shared" ca="1" si="3"/>
        <v>0</v>
      </c>
      <c r="AB12" s="228" t="str">
        <f t="shared" si="4"/>
        <v/>
      </c>
    </row>
    <row r="13" spans="1:34" s="227" customFormat="1" ht="19.95" customHeight="1">
      <c r="A13" s="262"/>
      <c r="B13" s="182" t="str">
        <f>IF(LEN(A13)=0,"",INDEX('Smelter Look-up'!$A:$A,MATCH($A13,'Smelter Look-up'!$E:$E,0)))</f>
        <v/>
      </c>
      <c r="C13" s="186" t="str">
        <f>IF(LEN(A13)=0,"",INDEX('Smelter Look-up'!$C:$C,MATCH($A13,'Smelter Look-up'!$E:$E,0)))</f>
        <v/>
      </c>
      <c r="D13" s="230"/>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4"/>
      <c r="L13" s="224"/>
      <c r="M13" s="224"/>
      <c r="N13" s="224"/>
      <c r="O13" s="224"/>
      <c r="P13" s="185"/>
      <c r="Q13" s="225"/>
      <c r="R13" s="182" t="str">
        <f ca="1">IF(ISERROR($V13),"",OFFSET('Smelter Look-up'!$C$4,$V13-4,0)&amp;"")</f>
        <v/>
      </c>
      <c r="S13" s="181" t="str">
        <f t="shared" ca="1" si="2"/>
        <v/>
      </c>
      <c r="T13" s="181" t="str">
        <f ca="1">IF(B13="","",IF(ISERROR(MATCH($J13,SorP!$B$1:$B$6226,0)),"",INDIRECT("'SorP'!$A$"&amp;MATCH($S13&amp;$J13,SorP!C:C,0))))</f>
        <v/>
      </c>
      <c r="U13" s="201"/>
      <c r="V13" s="226" t="e">
        <f>IF(C13="",NA(),IF(OR(C13="Smelter not listed",C13="Smelter not yet identified"),MATCH($B13&amp;$D13,'Smelter Look-up'!$J:$J,0),MATCH($B13&amp;$C13,'Smelter Look-up'!$J:$J,0)))</f>
        <v>#N/A</v>
      </c>
      <c r="X13" s="227">
        <f t="shared" ca="1" si="3"/>
        <v>0</v>
      </c>
      <c r="AB13" s="228" t="str">
        <f t="shared" si="4"/>
        <v/>
      </c>
    </row>
    <row r="14" spans="1:34" s="227" customFormat="1" ht="19.95" customHeight="1">
      <c r="A14" s="262"/>
      <c r="B14" s="182" t="str">
        <f>IF(LEN(A14)=0,"",INDEX('Smelter Look-up'!$A:$A,MATCH($A14,'Smelter Look-up'!$E:$E,0)))</f>
        <v/>
      </c>
      <c r="C14" s="186" t="str">
        <f>IF(LEN(A14)=0,"",INDEX('Smelter Look-up'!$C:$C,MATCH($A14,'Smelter Look-up'!$E:$E,0)))</f>
        <v/>
      </c>
      <c r="D14" s="230"/>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4"/>
      <c r="L14" s="224"/>
      <c r="M14" s="224"/>
      <c r="N14" s="224"/>
      <c r="O14" s="224"/>
      <c r="P14" s="185"/>
      <c r="Q14" s="225"/>
      <c r="R14" s="182" t="str">
        <f ca="1">IF(ISERROR($V14),"",OFFSET('Smelter Look-up'!$C$4,$V14-4,0)&amp;"")</f>
        <v/>
      </c>
      <c r="S14" s="181" t="str">
        <f t="shared" ca="1" si="2"/>
        <v/>
      </c>
      <c r="T14" s="181" t="str">
        <f ca="1">IF(B14="","",IF(ISERROR(MATCH($J14,SorP!$B$1:$B$6226,0)),"",INDIRECT("'SorP'!$A$"&amp;MATCH($S14&amp;$J14,SorP!C:C,0))))</f>
        <v/>
      </c>
      <c r="U14" s="201"/>
      <c r="V14" s="226" t="e">
        <f>IF(C14="",NA(),IF(OR(C14="Smelter not listed",C14="Smelter not yet identified"),MATCH($B14&amp;$D14,'Smelter Look-up'!$J:$J,0),MATCH($B14&amp;$C14,'Smelter Look-up'!$J:$J,0)))</f>
        <v>#N/A</v>
      </c>
      <c r="X14" s="227">
        <f t="shared" ca="1" si="3"/>
        <v>0</v>
      </c>
      <c r="AB14" s="228" t="str">
        <f t="shared" si="4"/>
        <v/>
      </c>
    </row>
    <row r="15" spans="1:34" s="227" customFormat="1" ht="19.95" customHeight="1">
      <c r="A15" s="262"/>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2"/>
        <v/>
      </c>
      <c r="T15" s="181" t="str">
        <f ca="1">IF(B15="","",IF(ISERROR(MATCH($J15,SorP!$B$1:$B$6226,0)),"",INDIRECT("'SorP'!$A$"&amp;MATCH($S15&amp;$J15,SorP!C:C,0))))</f>
        <v/>
      </c>
      <c r="U15" s="201"/>
      <c r="V15" s="226" t="e">
        <f>IF(C15="",NA(),IF(OR(C15="Smelter not listed",C15="Smelter not yet identified"),MATCH($B15&amp;$D15,'Smelter Look-up'!$J:$J,0),MATCH($B15&amp;$C15,'Smelter Look-up'!$J:$J,0)))</f>
        <v>#N/A</v>
      </c>
      <c r="X15" s="227">
        <f t="shared" ca="1" si="3"/>
        <v>0</v>
      </c>
      <c r="AB15" s="228" t="str">
        <f t="shared" si="4"/>
        <v/>
      </c>
    </row>
    <row r="16" spans="1:34" s="227" customFormat="1" ht="19.95" customHeight="1">
      <c r="A16" s="262"/>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2"/>
        <v/>
      </c>
      <c r="T16" s="181" t="str">
        <f ca="1">IF(B16="","",IF(ISERROR(MATCH($J16,SorP!$B$1:$B$6226,0)),"",INDIRECT("'SorP'!$A$"&amp;MATCH($S16&amp;$J16,SorP!C:C,0))))</f>
        <v/>
      </c>
      <c r="U16" s="201"/>
      <c r="V16" s="226" t="e">
        <f>IF(C16="",NA(),IF(OR(C16="Smelter not listed",C16="Smelter not yet identified"),MATCH($B16&amp;$D16,'Smelter Look-up'!$J:$J,0),MATCH($B16&amp;$C16,'Smelter Look-up'!$J:$J,0)))</f>
        <v>#N/A</v>
      </c>
      <c r="X16" s="227">
        <f t="shared" ca="1" si="3"/>
        <v>0</v>
      </c>
      <c r="AB16" s="228" t="str">
        <f t="shared" si="4"/>
        <v/>
      </c>
    </row>
    <row r="17" spans="1:28" s="227" customFormat="1" ht="19.95" customHeight="1">
      <c r="A17" s="262"/>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2"/>
        <v/>
      </c>
      <c r="T17" s="181" t="str">
        <f ca="1">IF(B17="","",IF(ISERROR(MATCH($J17,SorP!$B$1:$B$6226,0)),"",INDIRECT("'SorP'!$A$"&amp;MATCH($S17&amp;$J17,SorP!C:C,0))))</f>
        <v/>
      </c>
      <c r="U17" s="201"/>
      <c r="V17" s="226" t="e">
        <f>IF(C17="",NA(),IF(OR(C17="Smelter not listed",C17="Smelter not yet identified"),MATCH($B17&amp;$D17,'Smelter Look-up'!$J:$J,0),MATCH($B17&amp;$C17,'Smelter Look-up'!$J:$J,0)))</f>
        <v>#N/A</v>
      </c>
      <c r="X17" s="227">
        <f t="shared" ca="1" si="3"/>
        <v>0</v>
      </c>
      <c r="AB17" s="228" t="str">
        <f t="shared" si="4"/>
        <v/>
      </c>
    </row>
    <row r="18" spans="1:28" s="227" customFormat="1" ht="19.95" customHeight="1">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2"/>
        <v/>
      </c>
      <c r="T18" s="181" t="str">
        <f ca="1">IF(B18="","",IF(ISERROR(MATCH($J18,SorP!$B$1:$B$6226,0)),"",INDIRECT("'SorP'!$A$"&amp;MATCH($S18&amp;$J18,SorP!C:C,0))))</f>
        <v/>
      </c>
      <c r="U18" s="201"/>
      <c r="V18" s="226" t="e">
        <f>IF(C18="",NA(),IF(OR(C18="Smelter not listed",C18="Smelter not yet identified"),MATCH($B18&amp;$D18,'Smelter Look-up'!$J:$J,0),MATCH($B18&amp;$C18,'Smelter Look-up'!$J:$J,0)))</f>
        <v>#N/A</v>
      </c>
      <c r="X18" s="227">
        <f t="shared" ca="1" si="3"/>
        <v>0</v>
      </c>
      <c r="AB18" s="228" t="str">
        <f t="shared" si="4"/>
        <v/>
      </c>
    </row>
    <row r="19" spans="1:28" s="227" customFormat="1" ht="20.399999999999999">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2"/>
        <v/>
      </c>
      <c r="T19" s="181" t="str">
        <f ca="1">IF(B19="","",IF(ISERROR(MATCH($J19,SorP!$B$1:$B$6226,0)),"",INDIRECT("'SorP'!$A$"&amp;MATCH($S19&amp;$J19,SorP!C:C,0))))</f>
        <v/>
      </c>
      <c r="U19" s="201"/>
      <c r="V19" s="226" t="e">
        <f>IF(C19="",NA(),IF(OR(C19="Smelter not listed",C19="Smelter not yet identified"),MATCH($B19&amp;$D19,'Smelter Look-up'!$J:$J,0),MATCH($B19&amp;$C19,'Smelter Look-up'!$J:$J,0)))</f>
        <v>#N/A</v>
      </c>
      <c r="X19" s="227">
        <f t="shared" ca="1" si="3"/>
        <v>0</v>
      </c>
      <c r="AB19" s="228" t="str">
        <f t="shared" si="4"/>
        <v/>
      </c>
    </row>
    <row r="20" spans="1:28" s="227" customFormat="1" ht="20.399999999999999">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2"/>
        <v/>
      </c>
      <c r="T20" s="181" t="str">
        <f ca="1">IF(B20="","",IF(ISERROR(MATCH($J20,SorP!$B$1:$B$6226,0)),"",INDIRECT("'SorP'!$A$"&amp;MATCH($S20&amp;$J20,SorP!C:C,0))))</f>
        <v/>
      </c>
      <c r="U20" s="201"/>
      <c r="V20" s="226" t="e">
        <f>IF(C20="",NA(),IF(OR(C20="Smelter not listed",C20="Smelter not yet identified"),MATCH($B20&amp;$D20,'Smelter Look-up'!$J:$J,0),MATCH($B20&amp;$C20,'Smelter Look-up'!$J:$J,0)))</f>
        <v>#N/A</v>
      </c>
      <c r="X20" s="227">
        <f t="shared" ca="1" si="3"/>
        <v>0</v>
      </c>
      <c r="AB20" s="228" t="str">
        <f t="shared" si="4"/>
        <v/>
      </c>
    </row>
    <row r="21" spans="1:28" s="227" customFormat="1" ht="20.399999999999999">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2"/>
        <v/>
      </c>
      <c r="T21" s="181" t="str">
        <f ca="1">IF(B21="","",IF(ISERROR(MATCH($J21,SorP!$B$1:$B$6226,0)),"",INDIRECT("'SorP'!$A$"&amp;MATCH($S21&amp;$J21,SorP!C:C,0))))</f>
        <v/>
      </c>
      <c r="U21" s="201"/>
      <c r="V21" s="226" t="e">
        <f>IF(C21="",NA(),IF(OR(C21="Smelter not listed",C21="Smelter not yet identified"),MATCH($B21&amp;$D21,'Smelter Look-up'!$J:$J,0),MATCH($B21&amp;$C21,'Smelter Look-up'!$J:$J,0)))</f>
        <v>#N/A</v>
      </c>
      <c r="X21" s="227">
        <f t="shared" ca="1" si="3"/>
        <v>0</v>
      </c>
      <c r="AB21" s="228" t="str">
        <f t="shared" si="4"/>
        <v/>
      </c>
    </row>
    <row r="22" spans="1:28" s="227" customFormat="1" ht="20.399999999999999">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2"/>
        <v/>
      </c>
      <c r="T22" s="181" t="str">
        <f ca="1">IF(B22="","",IF(ISERROR(MATCH($J22,SorP!$B$1:$B$6226,0)),"",INDIRECT("'SorP'!$A$"&amp;MATCH($S22&amp;$J22,SorP!C:C,0))))</f>
        <v/>
      </c>
      <c r="U22" s="201"/>
      <c r="V22" s="226" t="e">
        <f>IF(C22="",NA(),IF(OR(C22="Smelter not listed",C22="Smelter not yet identified"),MATCH($B22&amp;$D22,'Smelter Look-up'!$J:$J,0),MATCH($B22&amp;$C22,'Smelter Look-up'!$J:$J,0)))</f>
        <v>#N/A</v>
      </c>
      <c r="X22" s="227">
        <f t="shared" ca="1" si="3"/>
        <v>0</v>
      </c>
      <c r="AB22" s="228" t="str">
        <f t="shared" si="4"/>
        <v/>
      </c>
    </row>
    <row r="23" spans="1:28" s="227" customFormat="1" ht="20.399999999999999">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2"/>
        <v/>
      </c>
      <c r="T23" s="181" t="str">
        <f ca="1">IF(B23="","",IF(ISERROR(MATCH($J23,SorP!$B$1:$B$6226,0)),"",INDIRECT("'SorP'!$A$"&amp;MATCH($S23&amp;$J23,SorP!C:C,0))))</f>
        <v/>
      </c>
      <c r="U23" s="201"/>
      <c r="V23" s="226" t="e">
        <f>IF(C23="",NA(),IF(OR(C23="Smelter not listed",C23="Smelter not yet identified"),MATCH($B23&amp;$D23,'Smelter Look-up'!$J:$J,0),MATCH($B23&amp;$C23,'Smelter Look-up'!$J:$J,0)))</f>
        <v>#N/A</v>
      </c>
      <c r="X23" s="227">
        <f t="shared" ca="1" si="3"/>
        <v>0</v>
      </c>
      <c r="AB23" s="228" t="str">
        <f t="shared" si="4"/>
        <v/>
      </c>
    </row>
    <row r="24" spans="1:28" s="227" customFormat="1" ht="20.399999999999999">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2"/>
        <v/>
      </c>
      <c r="T24" s="181" t="str">
        <f ca="1">IF(B24="","",IF(ISERROR(MATCH($J24,SorP!$B$1:$B$6226,0)),"",INDIRECT("'SorP'!$A$"&amp;MATCH($S24&amp;$J24,SorP!C:C,0))))</f>
        <v/>
      </c>
      <c r="U24" s="201"/>
      <c r="V24" s="226" t="e">
        <f>IF(C24="",NA(),IF(OR(C24="Smelter not listed",C24="Smelter not yet identified"),MATCH($B24&amp;$D24,'Smelter Look-up'!$J:$J,0),MATCH($B24&amp;$C24,'Smelter Look-up'!$J:$J,0)))</f>
        <v>#N/A</v>
      </c>
      <c r="X24" s="227">
        <f t="shared" ca="1" si="3"/>
        <v>0</v>
      </c>
      <c r="AB24" s="228" t="str">
        <f t="shared" si="4"/>
        <v/>
      </c>
    </row>
    <row r="25" spans="1:28" s="227" customFormat="1" ht="20.399999999999999">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2"/>
        <v/>
      </c>
      <c r="T25" s="181" t="str">
        <f ca="1">IF(B25="","",IF(ISERROR(MATCH($J25,SorP!$B$1:$B$6226,0)),"",INDIRECT("'SorP'!$A$"&amp;MATCH($S25&amp;$J25,SorP!C:C,0))))</f>
        <v/>
      </c>
      <c r="U25" s="201"/>
      <c r="V25" s="226" t="e">
        <f>IF(C25="",NA(),IF(OR(C25="Smelter not listed",C25="Smelter not yet identified"),MATCH($B25&amp;$D25,'Smelter Look-up'!$J:$J,0),MATCH($B25&amp;$C25,'Smelter Look-up'!$J:$J,0)))</f>
        <v>#N/A</v>
      </c>
      <c r="X25" s="227">
        <f t="shared" ca="1" si="3"/>
        <v>0</v>
      </c>
      <c r="AB25" s="228" t="str">
        <f t="shared" si="4"/>
        <v/>
      </c>
    </row>
    <row r="26" spans="1:28" s="227" customFormat="1" ht="20.399999999999999">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2"/>
        <v/>
      </c>
      <c r="T26" s="181" t="str">
        <f ca="1">IF(B26="","",IF(ISERROR(MATCH($J26,SorP!$B$1:$B$6226,0)),"",INDIRECT("'SorP'!$A$"&amp;MATCH($S26&amp;$J26,SorP!C:C,0))))</f>
        <v/>
      </c>
      <c r="U26" s="201"/>
      <c r="V26" s="226" t="e">
        <f>IF(C26="",NA(),IF(OR(C26="Smelter not listed",C26="Smelter not yet identified"),MATCH($B26&amp;$D26,'Smelter Look-up'!$J:$J,0),MATCH($B26&amp;$C26,'Smelter Look-up'!$J:$J,0)))</f>
        <v>#N/A</v>
      </c>
      <c r="X26" s="227">
        <f t="shared" ca="1" si="3"/>
        <v>0</v>
      </c>
      <c r="AB26" s="228" t="str">
        <f t="shared" si="4"/>
        <v/>
      </c>
    </row>
    <row r="27" spans="1:28" s="227" customFormat="1" ht="20.399999999999999">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2"/>
        <v/>
      </c>
      <c r="T27" s="181" t="str">
        <f ca="1">IF(B27="","",IF(ISERROR(MATCH($J27,SorP!$B$1:$B$6226,0)),"",INDIRECT("'SorP'!$A$"&amp;MATCH($S27&amp;$J27,SorP!C:C,0))))</f>
        <v/>
      </c>
      <c r="U27" s="201"/>
      <c r="V27" s="226" t="e">
        <f>IF(C27="",NA(),IF(OR(C27="Smelter not listed",C27="Smelter not yet identified"),MATCH($B27&amp;$D27,'Smelter Look-up'!$J:$J,0),MATCH($B27&amp;$C27,'Smelter Look-up'!$J:$J,0)))</f>
        <v>#N/A</v>
      </c>
      <c r="X27" s="227">
        <f t="shared" ca="1" si="3"/>
        <v>0</v>
      </c>
      <c r="AB27" s="228" t="str">
        <f t="shared" si="4"/>
        <v/>
      </c>
    </row>
    <row r="28" spans="1:28" s="227" customFormat="1" ht="20.399999999999999">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2"/>
        <v/>
      </c>
      <c r="T28" s="181" t="str">
        <f ca="1">IF(B28="","",IF(ISERROR(MATCH($J28,SorP!$B$1:$B$6226,0)),"",INDIRECT("'SorP'!$A$"&amp;MATCH($S28&amp;$J28,SorP!C:C,0))))</f>
        <v/>
      </c>
      <c r="U28" s="201"/>
      <c r="V28" s="226" t="e">
        <f>IF(C28="",NA(),IF(OR(C28="Smelter not listed",C28="Smelter not yet identified"),MATCH($B28&amp;$D28,'Smelter Look-up'!$J:$J,0),MATCH($B28&amp;$C28,'Smelter Look-up'!$J:$J,0)))</f>
        <v>#N/A</v>
      </c>
      <c r="X28" s="227">
        <f t="shared" ca="1" si="3"/>
        <v>0</v>
      </c>
      <c r="AB28" s="228" t="str">
        <f t="shared" si="4"/>
        <v/>
      </c>
    </row>
    <row r="29" spans="1:28" s="227" customFormat="1" ht="20.399999999999999">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2"/>
        <v/>
      </c>
      <c r="T29" s="181" t="str">
        <f ca="1">IF(B29="","",IF(ISERROR(MATCH($J29,SorP!$B$1:$B$6226,0)),"",INDIRECT("'SorP'!$A$"&amp;MATCH($S29&amp;$J29,SorP!C:C,0))))</f>
        <v/>
      </c>
      <c r="U29" s="201"/>
      <c r="V29" s="226" t="e">
        <f>IF(C29="",NA(),IF(OR(C29="Smelter not listed",C29="Smelter not yet identified"),MATCH($B29&amp;$D29,'Smelter Look-up'!$J:$J,0),MATCH($B29&amp;$C29,'Smelter Look-up'!$J:$J,0)))</f>
        <v>#N/A</v>
      </c>
      <c r="X29" s="227">
        <f t="shared" ca="1" si="3"/>
        <v>0</v>
      </c>
      <c r="AB29" s="228" t="str">
        <f t="shared" si="4"/>
        <v/>
      </c>
    </row>
    <row r="30" spans="1:28" s="227" customFormat="1" ht="20.399999999999999">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2"/>
        <v/>
      </c>
      <c r="T30" s="181" t="str">
        <f ca="1">IF(B30="","",IF(ISERROR(MATCH($J30,SorP!$B$1:$B$6226,0)),"",INDIRECT("'SorP'!$A$"&amp;MATCH($S30&amp;$J30,SorP!C:C,0))))</f>
        <v/>
      </c>
      <c r="U30" s="201"/>
      <c r="V30" s="226" t="e">
        <f>IF(C30="",NA(),IF(OR(C30="Smelter not listed",C30="Smelter not yet identified"),MATCH($B30&amp;$D30,'Smelter Look-up'!$J:$J,0),MATCH($B30&amp;$C30,'Smelter Look-up'!$J:$J,0)))</f>
        <v>#N/A</v>
      </c>
      <c r="X30" s="227">
        <f t="shared" ca="1" si="3"/>
        <v>0</v>
      </c>
      <c r="AB30" s="228" t="str">
        <f t="shared" si="4"/>
        <v/>
      </c>
    </row>
    <row r="31" spans="1:28" s="227" customFormat="1" ht="20.399999999999999">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2"/>
        <v/>
      </c>
      <c r="T31" s="181" t="str">
        <f ca="1">IF(B31="","",IF(ISERROR(MATCH($J31,SorP!$B$1:$B$6226,0)),"",INDIRECT("'SorP'!$A$"&amp;MATCH($S31&amp;$J31,SorP!C:C,0))))</f>
        <v/>
      </c>
      <c r="U31" s="201"/>
      <c r="V31" s="226" t="e">
        <f>IF(C31="",NA(),IF(OR(C31="Smelter not listed",C31="Smelter not yet identified"),MATCH($B31&amp;$D31,'Smelter Look-up'!$J:$J,0),MATCH($B31&amp;$C31,'Smelter Look-up'!$J:$J,0)))</f>
        <v>#N/A</v>
      </c>
      <c r="X31" s="227">
        <f t="shared" ca="1" si="3"/>
        <v>0</v>
      </c>
      <c r="AB31" s="228" t="str">
        <f t="shared" si="4"/>
        <v/>
      </c>
    </row>
    <row r="32" spans="1:28" s="227" customFormat="1" ht="20.399999999999999">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2"/>
        <v/>
      </c>
      <c r="T32" s="181" t="str">
        <f ca="1">IF(B32="","",IF(ISERROR(MATCH($J32,SorP!$B$1:$B$6226,0)),"",INDIRECT("'SorP'!$A$"&amp;MATCH($S32&amp;$J32,SorP!C:C,0))))</f>
        <v/>
      </c>
      <c r="U32" s="201"/>
      <c r="V32" s="226" t="e">
        <f>IF(C32="",NA(),IF(OR(C32="Smelter not listed",C32="Smelter not yet identified"),MATCH($B32&amp;$D32,'Smelter Look-up'!$J:$J,0),MATCH($B32&amp;$C32,'Smelter Look-up'!$J:$J,0)))</f>
        <v>#N/A</v>
      </c>
      <c r="X32" s="227">
        <f t="shared" ca="1" si="3"/>
        <v>0</v>
      </c>
      <c r="AB32" s="228" t="str">
        <f t="shared" si="4"/>
        <v/>
      </c>
    </row>
    <row r="33" spans="1:28" s="227" customFormat="1" ht="20.399999999999999">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2"/>
        <v/>
      </c>
      <c r="T33" s="181" t="str">
        <f ca="1">IF(B33="","",IF(ISERROR(MATCH($J33,SorP!$B$1:$B$6226,0)),"",INDIRECT("'SorP'!$A$"&amp;MATCH($S33&amp;$J33,SorP!C:C,0))))</f>
        <v/>
      </c>
      <c r="U33" s="201"/>
      <c r="V33" s="226" t="e">
        <f>IF(C33="",NA(),IF(OR(C33="Smelter not listed",C33="Smelter not yet identified"),MATCH($B33&amp;$D33,'Smelter Look-up'!$J:$J,0),MATCH($B33&amp;$C33,'Smelter Look-up'!$J:$J,0)))</f>
        <v>#N/A</v>
      </c>
      <c r="X33" s="227">
        <f t="shared" ca="1" si="3"/>
        <v>0</v>
      </c>
      <c r="AB33" s="228" t="str">
        <f t="shared" si="4"/>
        <v/>
      </c>
    </row>
    <row r="34" spans="1:28" s="227" customFormat="1" ht="20.399999999999999">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2"/>
        <v/>
      </c>
      <c r="T34" s="181" t="str">
        <f ca="1">IF(B34="","",IF(ISERROR(MATCH($J34,SorP!$B$1:$B$6226,0)),"",INDIRECT("'SorP'!$A$"&amp;MATCH($S34&amp;$J34,SorP!C:C,0))))</f>
        <v/>
      </c>
      <c r="U34" s="201"/>
      <c r="V34" s="226" t="e">
        <f>IF(C34="",NA(),IF(OR(C34="Smelter not listed",C34="Smelter not yet identified"),MATCH($B34&amp;$D34,'Smelter Look-up'!$J:$J,0),MATCH($B34&amp;$C34,'Smelter Look-up'!$J:$J,0)))</f>
        <v>#N/A</v>
      </c>
      <c r="X34" s="227">
        <f t="shared" ca="1" si="3"/>
        <v>0</v>
      </c>
      <c r="AB34" s="228" t="str">
        <f t="shared" si="4"/>
        <v/>
      </c>
    </row>
    <row r="35" spans="1:28" s="227" customFormat="1" ht="20.399999999999999">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2"/>
        <v/>
      </c>
      <c r="T35" s="181" t="str">
        <f ca="1">IF(B35="","",IF(ISERROR(MATCH($J35,SorP!$B$1:$B$6226,0)),"",INDIRECT("'SorP'!$A$"&amp;MATCH($S35&amp;$J35,SorP!C:C,0))))</f>
        <v/>
      </c>
      <c r="U35" s="201"/>
      <c r="V35" s="226" t="e">
        <f>IF(C35="",NA(),IF(OR(C35="Smelter not listed",C35="Smelter not yet identified"),MATCH($B35&amp;$D35,'Smelter Look-up'!$J:$J,0),MATCH($B35&amp;$C35,'Smelter Look-up'!$J:$J,0)))</f>
        <v>#N/A</v>
      </c>
      <c r="X35" s="227">
        <f t="shared" ca="1" si="3"/>
        <v>0</v>
      </c>
      <c r="AB35" s="228" t="str">
        <f t="shared" si="4"/>
        <v/>
      </c>
    </row>
    <row r="36" spans="1:28" s="227" customFormat="1" ht="20.399999999999999">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2"/>
        <v/>
      </c>
      <c r="T36" s="181" t="str">
        <f ca="1">IF(B36="","",IF(ISERROR(MATCH($J36,SorP!$B$1:$B$6226,0)),"",INDIRECT("'SorP'!$A$"&amp;MATCH($S36&amp;$J36,SorP!C:C,0))))</f>
        <v/>
      </c>
      <c r="U36" s="201"/>
      <c r="V36" s="226" t="e">
        <f>IF(C36="",NA(),IF(OR(C36="Smelter not listed",C36="Smelter not yet identified"),MATCH($B36&amp;$D36,'Smelter Look-up'!$J:$J,0),MATCH($B36&amp;$C36,'Smelter Look-up'!$J:$J,0)))</f>
        <v>#N/A</v>
      </c>
      <c r="X36" s="227">
        <f t="shared" ca="1" si="3"/>
        <v>0</v>
      </c>
      <c r="AB36" s="228" t="str">
        <f t="shared" si="4"/>
        <v/>
      </c>
    </row>
    <row r="37" spans="1:28" s="227" customFormat="1" ht="20.399999999999999">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2"/>
        <v/>
      </c>
      <c r="T37" s="181" t="str">
        <f ca="1">IF(B37="","",IF(ISERROR(MATCH($J37,SorP!$B$1:$B$6226,0)),"",INDIRECT("'SorP'!$A$"&amp;MATCH($S37&amp;$J37,SorP!C:C,0))))</f>
        <v/>
      </c>
      <c r="U37" s="201"/>
      <c r="V37" s="226" t="e">
        <f>IF(C37="",NA(),IF(OR(C37="Smelter not listed",C37="Smelter not yet identified"),MATCH($B37&amp;$D37,'Smelter Look-up'!$J:$J,0),MATCH($B37&amp;$C37,'Smelter Look-up'!$J:$J,0)))</f>
        <v>#N/A</v>
      </c>
      <c r="X37" s="227">
        <f t="shared" ca="1" si="3"/>
        <v>0</v>
      </c>
      <c r="AB37" s="228" t="str">
        <f t="shared" si="4"/>
        <v/>
      </c>
    </row>
    <row r="38" spans="1:28" s="227" customFormat="1" ht="20.399999999999999">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5">IF(B38="","",IF(ISERROR(MATCH($E38,CL,0)),"Unknown",INDIRECT("'C'!$A$"&amp;MATCH($E38,CL,0)+1)))</f>
        <v/>
      </c>
      <c r="T38" s="181" t="str">
        <f ca="1">IF(B38="","",IF(ISERROR(MATCH($J38,SorP!$B$1:$B$6226,0)),"",INDIRECT("'SorP'!$A$"&amp;MATCH($S38&amp;$J38,SorP!C:C,0))))</f>
        <v/>
      </c>
      <c r="U38" s="201"/>
      <c r="V38" s="226" t="e">
        <f>IF(C38="",NA(),IF(OR(C38="Smelter not listed",C38="Smelter not yet identified"),MATCH($B38&amp;$D38,'Smelter Look-up'!$J:$J,0),MATCH($B38&amp;$C38,'Smelter Look-up'!$J:$J,0)))</f>
        <v>#N/A</v>
      </c>
      <c r="X38" s="227">
        <f t="shared" ref="X38:X68" ca="1" si="6">IF(AND(C38="Smelter not listed",OR(LEN(D38)=0,LEN(E38)=0)),1,0)</f>
        <v>0</v>
      </c>
      <c r="AB38" s="228" t="str">
        <f t="shared" ref="AB38:AB68" si="7">B38&amp;C38</f>
        <v/>
      </c>
    </row>
    <row r="39" spans="1:28" s="227" customFormat="1" ht="20.399999999999999">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5"/>
        <v/>
      </c>
      <c r="T39" s="181" t="str">
        <f ca="1">IF(B39="","",IF(ISERROR(MATCH($J39,SorP!$B$1:$B$6226,0)),"",INDIRECT("'SorP'!$A$"&amp;MATCH($S39&amp;$J39,SorP!C:C,0))))</f>
        <v/>
      </c>
      <c r="U39" s="201"/>
      <c r="V39" s="226" t="e">
        <f>IF(C39="",NA(),IF(OR(C39="Smelter not listed",C39="Smelter not yet identified"),MATCH($B39&amp;$D39,'Smelter Look-up'!$J:$J,0),MATCH($B39&amp;$C39,'Smelter Look-up'!$J:$J,0)))</f>
        <v>#N/A</v>
      </c>
      <c r="X39" s="227">
        <f t="shared" ca="1" si="6"/>
        <v>0</v>
      </c>
      <c r="AB39" s="228" t="str">
        <f t="shared" si="7"/>
        <v/>
      </c>
    </row>
    <row r="40" spans="1:28" s="227" customFormat="1" ht="20.399999999999999">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5"/>
        <v/>
      </c>
      <c r="T40" s="181" t="str">
        <f ca="1">IF(B40="","",IF(ISERROR(MATCH($J40,SorP!$B$1:$B$6226,0)),"",INDIRECT("'SorP'!$A$"&amp;MATCH($S40&amp;$J40,SorP!C:C,0))))</f>
        <v/>
      </c>
      <c r="U40" s="201"/>
      <c r="V40" s="226" t="e">
        <f>IF(C40="",NA(),IF(OR(C40="Smelter not listed",C40="Smelter not yet identified"),MATCH($B40&amp;$D40,'Smelter Look-up'!$J:$J,0),MATCH($B40&amp;$C40,'Smelter Look-up'!$J:$J,0)))</f>
        <v>#N/A</v>
      </c>
      <c r="X40" s="227">
        <f t="shared" ca="1" si="6"/>
        <v>0</v>
      </c>
      <c r="AB40" s="228" t="str">
        <f t="shared" si="7"/>
        <v/>
      </c>
    </row>
    <row r="41" spans="1:28" s="227" customFormat="1" ht="20.399999999999999">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5"/>
        <v/>
      </c>
      <c r="T41" s="181" t="str">
        <f ca="1">IF(B41="","",IF(ISERROR(MATCH($J41,SorP!$B$1:$B$6226,0)),"",INDIRECT("'SorP'!$A$"&amp;MATCH($S41&amp;$J41,SorP!C:C,0))))</f>
        <v/>
      </c>
      <c r="U41" s="201"/>
      <c r="V41" s="226" t="e">
        <f>IF(C41="",NA(),IF(OR(C41="Smelter not listed",C41="Smelter not yet identified"),MATCH($B41&amp;$D41,'Smelter Look-up'!$J:$J,0),MATCH($B41&amp;$C41,'Smelter Look-up'!$J:$J,0)))</f>
        <v>#N/A</v>
      </c>
      <c r="X41" s="227">
        <f t="shared" ca="1" si="6"/>
        <v>0</v>
      </c>
      <c r="AB41" s="228" t="str">
        <f t="shared" si="7"/>
        <v/>
      </c>
    </row>
    <row r="42" spans="1:28" s="227" customFormat="1" ht="20.399999999999999">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5"/>
        <v/>
      </c>
      <c r="T42" s="181" t="str">
        <f ca="1">IF(B42="","",IF(ISERROR(MATCH($J42,SorP!$B$1:$B$6226,0)),"",INDIRECT("'SorP'!$A$"&amp;MATCH($S42&amp;$J42,SorP!C:C,0))))</f>
        <v/>
      </c>
      <c r="U42" s="201"/>
      <c r="V42" s="226" t="e">
        <f>IF(C42="",NA(),IF(OR(C42="Smelter not listed",C42="Smelter not yet identified"),MATCH($B42&amp;$D42,'Smelter Look-up'!$J:$J,0),MATCH($B42&amp;$C42,'Smelter Look-up'!$J:$J,0)))</f>
        <v>#N/A</v>
      </c>
      <c r="X42" s="227">
        <f t="shared" ca="1" si="6"/>
        <v>0</v>
      </c>
      <c r="AB42" s="228" t="str">
        <f t="shared" si="7"/>
        <v/>
      </c>
    </row>
    <row r="43" spans="1:28" s="227" customFormat="1" ht="20.399999999999999">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5"/>
        <v/>
      </c>
      <c r="T43" s="181" t="str">
        <f ca="1">IF(B43="","",IF(ISERROR(MATCH($J43,SorP!$B$1:$B$6226,0)),"",INDIRECT("'SorP'!$A$"&amp;MATCH($S43&amp;$J43,SorP!C:C,0))))</f>
        <v/>
      </c>
      <c r="U43" s="201"/>
      <c r="V43" s="226" t="e">
        <f>IF(C43="",NA(),IF(OR(C43="Smelter not listed",C43="Smelter not yet identified"),MATCH($B43&amp;$D43,'Smelter Look-up'!$J:$J,0),MATCH($B43&amp;$C43,'Smelter Look-up'!$J:$J,0)))</f>
        <v>#N/A</v>
      </c>
      <c r="X43" s="227">
        <f t="shared" ca="1" si="6"/>
        <v>0</v>
      </c>
      <c r="AB43" s="228" t="str">
        <f t="shared" si="7"/>
        <v/>
      </c>
    </row>
    <row r="44" spans="1:28" s="227" customFormat="1" ht="20.399999999999999">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5"/>
        <v/>
      </c>
      <c r="T44" s="181" t="str">
        <f ca="1">IF(B44="","",IF(ISERROR(MATCH($J44,SorP!$B$1:$B$6226,0)),"",INDIRECT("'SorP'!$A$"&amp;MATCH($S44&amp;$J44,SorP!C:C,0))))</f>
        <v/>
      </c>
      <c r="U44" s="201"/>
      <c r="V44" s="226" t="e">
        <f>IF(C44="",NA(),IF(OR(C44="Smelter not listed",C44="Smelter not yet identified"),MATCH($B44&amp;$D44,'Smelter Look-up'!$J:$J,0),MATCH($B44&amp;$C44,'Smelter Look-up'!$J:$J,0)))</f>
        <v>#N/A</v>
      </c>
      <c r="X44" s="227">
        <f t="shared" ca="1" si="6"/>
        <v>0</v>
      </c>
      <c r="AB44" s="228" t="str">
        <f t="shared" si="7"/>
        <v/>
      </c>
    </row>
    <row r="45" spans="1:28" s="227" customFormat="1" ht="20.399999999999999">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399999999999999">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399999999999999">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399999999999999">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399999999999999">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399999999999999">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399999999999999">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399999999999999">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399999999999999">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399999999999999">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399999999999999">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399999999999999">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399999999999999">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399999999999999">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399999999999999">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399999999999999">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399999999999999">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399999999999999">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399999999999999">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399999999999999">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399999999999999">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399999999999999">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399999999999999">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399999999999999">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6"/>
        <v>0</v>
      </c>
      <c r="AB68" s="228" t="str">
        <f t="shared" si="7"/>
        <v/>
      </c>
    </row>
    <row r="69" spans="1:28" s="227" customFormat="1" ht="20.399999999999999">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9">IF(AND(C69="Smelter not listed",OR(LEN(D69)=0,LEN(E69)=0)),1,0)</f>
        <v>0</v>
      </c>
      <c r="AB69" s="228" t="str">
        <f t="shared" ref="AB69" si="10">B69&amp;C69</f>
        <v/>
      </c>
    </row>
    <row r="70" spans="1:28" s="227" customFormat="1" ht="20.399999999999999">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2">IF(AND(C70="Smelter not listed",OR(LEN(D70)=0,LEN(E70)=0)),1,0)</f>
        <v>0</v>
      </c>
      <c r="AB70" s="228" t="str">
        <f t="shared" ref="AB70:AB101" si="13">B70&amp;C70</f>
        <v/>
      </c>
    </row>
    <row r="71" spans="1:28" s="227" customFormat="1" ht="20.399999999999999">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399999999999999">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399999999999999">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399999999999999">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399999999999999">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399999999999999">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399999999999999">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399999999999999">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399999999999999">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399999999999999">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399999999999999">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399999999999999">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399999999999999">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399999999999999">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399999999999999">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399999999999999">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399999999999999">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399999999999999">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399999999999999">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399999999999999">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399999999999999">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399999999999999">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399999999999999">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399999999999999">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399999999999999">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399999999999999">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399999999999999">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399999999999999">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399999999999999">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399999999999999">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399999999999999">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399999999999999">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399999999999999">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399999999999999">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399999999999999">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399999999999999">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399999999999999">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399999999999999">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399999999999999">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399999999999999">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399999999999999">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399999999999999">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399999999999999">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399999999999999">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399999999999999">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399999999999999">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399999999999999">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399999999999999">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399999999999999">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399999999999999">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399999999999999">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399999999999999">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399999999999999">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399999999999999">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399999999999999">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399999999999999">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399999999999999">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399999999999999">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399999999999999">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399999999999999">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399999999999999">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399999999999999">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399999999999999">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399999999999999">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399999999999999">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399999999999999">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399999999999999">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399999999999999">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399999999999999">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399999999999999">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399999999999999">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399999999999999">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399999999999999">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399999999999999">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399999999999999">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399999999999999">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399999999999999">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399999999999999">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399999999999999">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399999999999999">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399999999999999">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399999999999999">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399999999999999">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399999999999999">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399999999999999">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399999999999999">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399999999999999">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399999999999999">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399999999999999">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399999999999999">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399999999999999">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399999999999999">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399999999999999">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399999999999999">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399999999999999">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399999999999999">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399999999999999">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399999999999999">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399999999999999">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399999999999999">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399999999999999">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399999999999999">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399999999999999">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399999999999999">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399999999999999">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399999999999999">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399999999999999">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399999999999999">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399999999999999">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399999999999999">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399999999999999">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399999999999999">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399999999999999">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399999999999999">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399999999999999">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399999999999999">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399999999999999">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399999999999999">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399999999999999">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399999999999999">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399999999999999">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399999999999999">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399999999999999">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399999999999999">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399999999999999">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399999999999999">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399999999999999">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399999999999999">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399999999999999">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399999999999999">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399999999999999">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399999999999999">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399999999999999">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399999999999999">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399999999999999">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399999999999999">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399999999999999">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399999999999999">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399999999999999">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399999999999999">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399999999999999">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399999999999999">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399999999999999">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399999999999999">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399999999999999">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399999999999999">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399999999999999">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399999999999999">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399999999999999">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399999999999999">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399999999999999">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399999999999999">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399999999999999">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399999999999999">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399999999999999">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399999999999999">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399999999999999">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399999999999999">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399999999999999">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399999999999999">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399999999999999">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399999999999999">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399999999999999">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399999999999999">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399999999999999">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399999999999999">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399999999999999">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399999999999999">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399999999999999">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399999999999999">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399999999999999">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399999999999999">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399999999999999">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399999999999999">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399999999999999">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399999999999999">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399999999999999">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399999999999999">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399999999999999">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399999999999999">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399999999999999">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399999999999999">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399999999999999">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399999999999999">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399999999999999">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399999999999999">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399999999999999">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399999999999999">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399999999999999">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399999999999999">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399999999999999">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399999999999999">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399999999999999">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399999999999999">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399999999999999">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399999999999999">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399999999999999">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399999999999999">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399999999999999">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399999999999999">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399999999999999">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399999999999999">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399999999999999">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399999999999999">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399999999999999">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399999999999999">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399999999999999">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399999999999999">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399999999999999">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399999999999999">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399999999999999">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399999999999999">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399999999999999">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399999999999999">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399999999999999">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399999999999999">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399999999999999">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399999999999999">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399999999999999">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399999999999999">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399999999999999">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399999999999999">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399999999999999">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399999999999999">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399999999999999">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399999999999999">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399999999999999">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399999999999999">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399999999999999">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399999999999999">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399999999999999">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399999999999999">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399999999999999">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399999999999999">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399999999999999">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399999999999999">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399999999999999">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399999999999999">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399999999999999">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399999999999999">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399999999999999">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399999999999999">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399999999999999">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399999999999999">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399999999999999">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399999999999999">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399999999999999">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399999999999999">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399999999999999">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399999999999999">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399999999999999">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399999999999999">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399999999999999">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399999999999999">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399999999999999">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399999999999999">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399999999999999">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399999999999999">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399999999999999">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399999999999999">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399999999999999">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399999999999999">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399999999999999">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399999999999999">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399999999999999">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399999999999999">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399999999999999">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399999999999999">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399999999999999">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399999999999999">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399999999999999">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399999999999999">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399999999999999">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399999999999999">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399999999999999">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399999999999999">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399999999999999">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399999999999999">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399999999999999">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399999999999999">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399999999999999">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399999999999999">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399999999999999">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399999999999999">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399999999999999">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399999999999999">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399999999999999">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399999999999999">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399999999999999">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399999999999999">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399999999999999">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399999999999999">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399999999999999">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399999999999999">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399999999999999">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399999999999999">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399999999999999">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399999999999999">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399999999999999">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399999999999999">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399999999999999">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399999999999999">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399999999999999">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399999999999999">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399999999999999">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399999999999999">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399999999999999">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399999999999999">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399999999999999">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399999999999999">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399999999999999">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399999999999999">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399999999999999">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399999999999999">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399999999999999">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399999999999999">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399999999999999">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399999999999999">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399999999999999">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399999999999999">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399999999999999">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399999999999999">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399999999999999">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399999999999999">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399999999999999">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399999999999999">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399999999999999">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399999999999999">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399999999999999">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399999999999999">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399999999999999">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399999999999999">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399999999999999">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399999999999999">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399999999999999">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399999999999999">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399999999999999">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399999999999999">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399999999999999">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399999999999999">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399999999999999">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399999999999999">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399999999999999">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399999999999999">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399999999999999">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399999999999999">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399999999999999">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399999999999999">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399999999999999">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399999999999999">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399999999999999">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399999999999999">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399999999999999">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399999999999999">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399999999999999">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399999999999999">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399999999999999">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399999999999999">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399999999999999">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399999999999999">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399999999999999">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399999999999999">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399999999999999">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399999999999999">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399999999999999">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399999999999999">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399999999999999">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399999999999999">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399999999999999">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399999999999999">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399999999999999">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399999999999999">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399999999999999">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399999999999999">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399999999999999">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399999999999999">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399999999999999">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399999999999999">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399999999999999">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399999999999999">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399999999999999">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399999999999999">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399999999999999">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399999999999999">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399999999999999">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399999999999999">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399999999999999">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399999999999999">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399999999999999">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399999999999999">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399999999999999">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399999999999999">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399999999999999">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399999999999999">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399999999999999">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399999999999999">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399999999999999">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399999999999999">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399999999999999">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399999999999999">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399999999999999">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399999999999999">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399999999999999">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399999999999999">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399999999999999">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399999999999999">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399999999999999">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399999999999999">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399999999999999">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399999999999999">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399999999999999">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399999999999999">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399999999999999">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399999999999999">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399999999999999">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399999999999999">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399999999999999">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399999999999999">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399999999999999">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399999999999999">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399999999999999">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399999999999999">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399999999999999">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399999999999999">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399999999999999">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399999999999999">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399999999999999">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399999999999999">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399999999999999">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399999999999999">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399999999999999">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399999999999999">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399999999999999">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399999999999999">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399999999999999">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399999999999999">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399999999999999">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399999999999999">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399999999999999">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399999999999999">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399999999999999">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399999999999999">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399999999999999">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399999999999999">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399999999999999">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399999999999999">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399999999999999">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399999999999999">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399999999999999">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399999999999999">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399999999999999">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399999999999999">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399999999999999">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399999999999999">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399999999999999">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399999999999999">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399999999999999">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399999999999999">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399999999999999">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399999999999999">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399999999999999">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399999999999999">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399999999999999">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399999999999999">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399999999999999">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399999999999999">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399999999999999">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399999999999999">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399999999999999">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399999999999999">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399999999999999">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399999999999999">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399999999999999">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399999999999999">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399999999999999">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399999999999999">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399999999999999">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399999999999999">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399999999999999">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399999999999999">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399999999999999">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399999999999999">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399999999999999">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399999999999999">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399999999999999">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399999999999999">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399999999999999">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399999999999999">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399999999999999">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399999999999999">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399999999999999">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399999999999999">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399999999999999">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399999999999999">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399999999999999">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399999999999999">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399999999999999">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399999999999999">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399999999999999">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399999999999999">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399999999999999">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399999999999999">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399999999999999">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399999999999999">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399999999999999">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399999999999999">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399999999999999">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399999999999999">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399999999999999">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399999999999999">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399999999999999">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399999999999999">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399999999999999">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399999999999999">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399999999999999">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399999999999999">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399999999999999">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399999999999999">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399999999999999">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399999999999999">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399999999999999">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399999999999999">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399999999999999">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399999999999999">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399999999999999">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399999999999999">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399999999999999">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399999999999999">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399999999999999">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399999999999999">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399999999999999">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399999999999999">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399999999999999">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399999999999999">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399999999999999">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399999999999999">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399999999999999">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399999999999999">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399999999999999">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399999999999999">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399999999999999">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399999999999999">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399999999999999">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399999999999999">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399999999999999">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399999999999999">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399999999999999">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399999999999999">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399999999999999">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399999999999999">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399999999999999">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399999999999999">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399999999999999">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399999999999999">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399999999999999">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399999999999999">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399999999999999">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399999999999999">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399999999999999">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399999999999999">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399999999999999">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399999999999999">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399999999999999">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399999999999999">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399999999999999">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399999999999999">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399999999999999">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399999999999999">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399999999999999">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399999999999999">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399999999999999">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399999999999999">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399999999999999">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399999999999999">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399999999999999">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399999999999999">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399999999999999">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399999999999999">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399999999999999">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399999999999999">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399999999999999">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399999999999999">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399999999999999">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399999999999999">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399999999999999">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399999999999999">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399999999999999">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399999999999999">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399999999999999">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399999999999999">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399999999999999">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399999999999999">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399999999999999">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399999999999999">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399999999999999">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399999999999999">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399999999999999">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399999999999999">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399999999999999">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399999999999999">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399999999999999">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399999999999999">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399999999999999">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399999999999999">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399999999999999">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399999999999999">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399999999999999">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399999999999999">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399999999999999">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399999999999999">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399999999999999">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399999999999999">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399999999999999">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399999999999999">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399999999999999">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399999999999999">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399999999999999">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399999999999999">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399999999999999">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399999999999999">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399999999999999">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399999999999999">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399999999999999">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399999999999999">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399999999999999">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399999999999999">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399999999999999">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399999999999999">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399999999999999">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399999999999999">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399999999999999">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399999999999999">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399999999999999">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399999999999999">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399999999999999">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399999999999999">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399999999999999">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399999999999999">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399999999999999">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399999999999999">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399999999999999">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399999999999999">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399999999999999">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399999999999999">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399999999999999">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399999999999999">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399999999999999">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399999999999999">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399999999999999">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399999999999999">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399999999999999">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399999999999999">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399999999999999">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399999999999999">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399999999999999">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399999999999999">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399999999999999">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399999999999999">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399999999999999">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399999999999999">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399999999999999">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399999999999999">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399999999999999">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399999999999999">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399999999999999">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399999999999999">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399999999999999">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399999999999999">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399999999999999">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399999999999999">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399999999999999">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399999999999999">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399999999999999">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399999999999999">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399999999999999">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399999999999999">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399999999999999">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399999999999999">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399999999999999">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399999999999999">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399999999999999">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399999999999999">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399999999999999">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399999999999999">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399999999999999">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399999999999999">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399999999999999">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399999999999999">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399999999999999">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399999999999999">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399999999999999">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399999999999999">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399999999999999">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399999999999999">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399999999999999">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399999999999999">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399999999999999">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399999999999999">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399999999999999">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399999999999999">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399999999999999">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399999999999999">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399999999999999">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399999999999999">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399999999999999">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399999999999999">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399999999999999">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399999999999999">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399999999999999">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399999999999999">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399999999999999">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399999999999999">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399999999999999">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399999999999999">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399999999999999">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399999999999999">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399999999999999">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399999999999999">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399999999999999">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399999999999999">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399999999999999">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399999999999999">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399999999999999">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399999999999999">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399999999999999">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399999999999999">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399999999999999">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399999999999999">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399999999999999">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399999999999999">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399999999999999">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399999999999999">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399999999999999">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399999999999999">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399999999999999">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399999999999999">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399999999999999">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399999999999999">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399999999999999">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399999999999999">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399999999999999">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399999999999999">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399999999999999">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399999999999999">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399999999999999">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399999999999999">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399999999999999">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399999999999999">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399999999999999">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399999999999999">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399999999999999">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399999999999999">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399999999999999">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399999999999999">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399999999999999">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399999999999999">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399999999999999">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399999999999999">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399999999999999">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399999999999999">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399999999999999">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399999999999999">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399999999999999">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399999999999999">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399999999999999">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399999999999999">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399999999999999">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399999999999999">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399999999999999">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399999999999999">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399999999999999">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399999999999999">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399999999999999">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399999999999999">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399999999999999">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399999999999999">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399999999999999">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399999999999999">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399999999999999">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399999999999999">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399999999999999">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399999999999999">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399999999999999">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399999999999999">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399999999999999">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399999999999999">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399999999999999">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399999999999999">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399999999999999">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399999999999999">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399999999999999">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399999999999999">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399999999999999">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399999999999999">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399999999999999">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399999999999999">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399999999999999">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399999999999999">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399999999999999">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399999999999999">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399999999999999">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399999999999999">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399999999999999">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399999999999999">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399999999999999">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399999999999999">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399999999999999">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399999999999999">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399999999999999">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399999999999999">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399999999999999">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399999999999999">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399999999999999">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399999999999999">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399999999999999">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399999999999999">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399999999999999">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399999999999999">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399999999999999">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399999999999999">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399999999999999">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399999999999999">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399999999999999">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399999999999999">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399999999999999">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399999999999999">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399999999999999">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399999999999999">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399999999999999">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399999999999999">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399999999999999">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399999999999999">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399999999999999">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399999999999999">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399999999999999">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399999999999999">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399999999999999">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399999999999999">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399999999999999">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399999999999999">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399999999999999">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399999999999999">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399999999999999">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399999999999999">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399999999999999">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399999999999999">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399999999999999">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399999999999999">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399999999999999">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399999999999999">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399999999999999">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399999999999999">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399999999999999">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399999999999999">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399999999999999">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399999999999999">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399999999999999">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399999999999999">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399999999999999">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399999999999999">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399999999999999">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399999999999999">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399999999999999">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399999999999999">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399999999999999">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399999999999999">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399999999999999">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399999999999999">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399999999999999">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399999999999999">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399999999999999">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399999999999999">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399999999999999">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399999999999999">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399999999999999">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399999999999999">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399999999999999">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399999999999999">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399999999999999">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399999999999999">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399999999999999">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399999999999999">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399999999999999">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399999999999999">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399999999999999">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399999999999999">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399999999999999">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399999999999999">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399999999999999">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399999999999999">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399999999999999">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399999999999999">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399999999999999">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399999999999999">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399999999999999">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399999999999999">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399999999999999">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399999999999999">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399999999999999">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399999999999999">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399999999999999">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399999999999999">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399999999999999">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399999999999999">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399999999999999">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399999999999999">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399999999999999">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399999999999999">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399999999999999">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399999999999999">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399999999999999">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399999999999999">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399999999999999">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399999999999999">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399999999999999">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399999999999999">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399999999999999">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399999999999999">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399999999999999">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399999999999999">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399999999999999">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399999999999999">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399999999999999">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399999999999999">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399999999999999">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399999999999999">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399999999999999">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399999999999999">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399999999999999">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399999999999999">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399999999999999">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399999999999999">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399999999999999">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399999999999999">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399999999999999">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399999999999999">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399999999999999">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399999999999999">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399999999999999">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399999999999999">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399999999999999">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399999999999999">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399999999999999">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399999999999999">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399999999999999">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399999999999999">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399999999999999">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399999999999999">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399999999999999">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399999999999999">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399999999999999">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399999999999999">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399999999999999">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399999999999999">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399999999999999">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399999999999999">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399999999999999">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399999999999999">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399999999999999">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399999999999999">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399999999999999">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399999999999999">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399999999999999">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399999999999999">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399999999999999">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399999999999999">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399999999999999">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399999999999999">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399999999999999">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399999999999999">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399999999999999">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399999999999999">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399999999999999">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399999999999999">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399999999999999">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399999999999999">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399999999999999">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399999999999999">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399999999999999">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399999999999999">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399999999999999">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399999999999999">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399999999999999">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399999999999999">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399999999999999">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399999999999999">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399999999999999">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399999999999999">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399999999999999">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399999999999999">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399999999999999">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399999999999999">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399999999999999">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399999999999999">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399999999999999">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399999999999999">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399999999999999">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399999999999999">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399999999999999">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399999999999999">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399999999999999">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399999999999999">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399999999999999">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399999999999999">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399999999999999">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399999999999999">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399999999999999">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399999999999999">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399999999999999">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399999999999999">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399999999999999">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399999999999999">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399999999999999">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399999999999999">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399999999999999">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399999999999999">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399999999999999">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399999999999999">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399999999999999">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399999999999999">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399999999999999">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399999999999999">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399999999999999">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399999999999999">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399999999999999">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399999999999999">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399999999999999">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399999999999999">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399999999999999">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399999999999999">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399999999999999">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399999999999999">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399999999999999">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399999999999999">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399999999999999">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399999999999999">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399999999999999">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399999999999999">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399999999999999">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399999999999999">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399999999999999">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399999999999999">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399999999999999">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399999999999999">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399999999999999">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399999999999999">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399999999999999">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399999999999999">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399999999999999">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399999999999999">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399999999999999">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399999999999999">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399999999999999">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399999999999999">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399999999999999">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399999999999999">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399999999999999">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399999999999999">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399999999999999">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399999999999999">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399999999999999">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399999999999999">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399999999999999">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399999999999999">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399999999999999">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399999999999999">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399999999999999">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399999999999999">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399999999999999">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399999999999999">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399999999999999">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399999999999999">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399999999999999">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399999999999999">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399999999999999">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399999999999999">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399999999999999">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399999999999999">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399999999999999">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399999999999999">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399999999999999">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399999999999999">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399999999999999">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399999999999999">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399999999999999">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399999999999999">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399999999999999">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399999999999999">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399999999999999">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399999999999999">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399999999999999">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399999999999999">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399999999999999">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399999999999999">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399999999999999">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399999999999999">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399999999999999">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399999999999999">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399999999999999">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399999999999999">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399999999999999">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399999999999999">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399999999999999">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399999999999999">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399999999999999">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399999999999999">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399999999999999">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399999999999999">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399999999999999">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399999999999999">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399999999999999">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399999999999999">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399999999999999">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399999999999999">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399999999999999">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399999999999999">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399999999999999">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399999999999999">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399999999999999">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399999999999999">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399999999999999">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399999999999999">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399999999999999">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399999999999999">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399999999999999">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399999999999999">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399999999999999">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399999999999999">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399999999999999">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399999999999999">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399999999999999">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399999999999999">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399999999999999">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399999999999999">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399999999999999">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399999999999999">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399999999999999">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399999999999999">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399999999999999">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399999999999999">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399999999999999">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399999999999999">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399999999999999">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399999999999999">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399999999999999">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399999999999999">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399999999999999">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399999999999999">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399999999999999">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399999999999999">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399999999999999">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399999999999999">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399999999999999">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399999999999999">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399999999999999">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399999999999999">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399999999999999">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399999999999999">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399999999999999">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399999999999999">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399999999999999">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399999999999999">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399999999999999">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399999999999999">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399999999999999">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399999999999999">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399999999999999">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399999999999999">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399999999999999">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399999999999999">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399999999999999">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399999999999999">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399999999999999">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399999999999999">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399999999999999">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399999999999999">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399999999999999">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399999999999999">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399999999999999">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399999999999999">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399999999999999">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399999999999999">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399999999999999">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399999999999999">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399999999999999">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399999999999999">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399999999999999">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399999999999999">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399999999999999">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399999999999999">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399999999999999">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399999999999999">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399999999999999">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399999999999999">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399999999999999">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399999999999999">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399999999999999">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399999999999999">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399999999999999">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399999999999999">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399999999999999">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399999999999999">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399999999999999">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399999999999999">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399999999999999">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399999999999999">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399999999999999">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399999999999999">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399999999999999">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399999999999999">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399999999999999">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399999999999999">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399999999999999">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399999999999999">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399999999999999">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399999999999999">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399999999999999">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399999999999999">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399999999999999">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399999999999999">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399999999999999">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399999999999999">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399999999999999">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399999999999999">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399999999999999">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399999999999999">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399999999999999">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399999999999999">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399999999999999">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399999999999999">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399999999999999">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399999999999999">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399999999999999">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399999999999999">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399999999999999">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399999999999999">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399999999999999">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399999999999999">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399999999999999">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399999999999999">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399999999999999">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399999999999999">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399999999999999">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399999999999999">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399999999999999">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399999999999999">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399999999999999">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399999999999999">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399999999999999">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399999999999999">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399999999999999">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399999999999999">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399999999999999">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399999999999999">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399999999999999">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399999999999999">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399999999999999">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399999999999999">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399999999999999">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399999999999999">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399999999999999">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399999999999999">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399999999999999">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399999999999999">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399999999999999">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399999999999999">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399999999999999">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399999999999999">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399999999999999">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399999999999999">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399999999999999">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399999999999999">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399999999999999">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399999999999999">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399999999999999">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399999999999999">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399999999999999">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399999999999999">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399999999999999">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399999999999999">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399999999999999">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399999999999999">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399999999999999">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399999999999999">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399999999999999">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399999999999999">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399999999999999">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399999999999999">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399999999999999">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399999999999999">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399999999999999">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399999999999999">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399999999999999">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399999999999999">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399999999999999">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399999999999999">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399999999999999">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399999999999999">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399999999999999">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399999999999999">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399999999999999">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399999999999999">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399999999999999">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399999999999999">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399999999999999">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399999999999999">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399999999999999">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399999999999999">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399999999999999">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399999999999999">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399999999999999">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399999999999999">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399999999999999">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399999999999999">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399999999999999">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399999999999999">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399999999999999">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399999999999999">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399999999999999">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399999999999999">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399999999999999">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399999999999999">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399999999999999">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399999999999999">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399999999999999">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399999999999999">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399999999999999">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399999999999999">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399999999999999">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399999999999999">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399999999999999">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399999999999999">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399999999999999">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399999999999999">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399999999999999">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399999999999999">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399999999999999">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399999999999999">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399999999999999">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399999999999999">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399999999999999">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399999999999999">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399999999999999">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399999999999999">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399999999999999">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399999999999999">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399999999999999">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399999999999999">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399999999999999">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399999999999999">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399999999999999">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399999999999999">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399999999999999">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399999999999999">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399999999999999">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399999999999999">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399999999999999">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399999999999999">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399999999999999">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399999999999999">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399999999999999">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399999999999999">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399999999999999">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399999999999999">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399999999999999">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399999999999999">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399999999999999">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399999999999999">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399999999999999">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399999999999999">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399999999999999">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399999999999999">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399999999999999">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399999999999999">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399999999999999">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399999999999999">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399999999999999">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399999999999999">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399999999999999">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399999999999999">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399999999999999">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399999999999999">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399999999999999">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399999999999999">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399999999999999">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399999999999999">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399999999999999">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399999999999999">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399999999999999">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399999999999999">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399999999999999">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399999999999999">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399999999999999">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399999999999999">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399999999999999">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399999999999999">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399999999999999">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399999999999999">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399999999999999">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399999999999999">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399999999999999">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399999999999999">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399999999999999">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399999999999999">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399999999999999">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399999999999999">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399999999999999">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399999999999999">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399999999999999">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399999999999999">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399999999999999">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399999999999999">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399999999999999">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399999999999999">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399999999999999">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399999999999999">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399999999999999">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399999999999999">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399999999999999">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399999999999999">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399999999999999">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399999999999999">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399999999999999">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399999999999999">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399999999999999">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399999999999999">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399999999999999">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399999999999999">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399999999999999">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399999999999999">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399999999999999">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399999999999999">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399999999999999">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399999999999999">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399999999999999">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399999999999999">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399999999999999">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399999999999999">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399999999999999">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399999999999999">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399999999999999">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399999999999999">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399999999999999">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399999999999999">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399999999999999">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399999999999999">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399999999999999">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399999999999999">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399999999999999">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399999999999999">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399999999999999">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399999999999999">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399999999999999">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399999999999999">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399999999999999">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399999999999999">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399999999999999">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399999999999999">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399999999999999">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399999999999999">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399999999999999">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399999999999999">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399999999999999">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399999999999999">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399999999999999">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399999999999999">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399999999999999">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399999999999999">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399999999999999">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399999999999999">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399999999999999">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399999999999999">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399999999999999">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399999999999999">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399999999999999">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399999999999999">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399999999999999">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399999999999999">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399999999999999">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399999999999999">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399999999999999">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399999999999999">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399999999999999">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399999999999999">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399999999999999">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399999999999999">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399999999999999">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399999999999999">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399999999999999">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399999999999999">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399999999999999">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399999999999999">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399999999999999">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399999999999999">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399999999999999">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399999999999999">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399999999999999">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399999999999999">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399999999999999">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399999999999999">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399999999999999">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399999999999999">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399999999999999">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399999999999999">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399999999999999">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399999999999999">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399999999999999">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399999999999999">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399999999999999">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399999999999999">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399999999999999">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399999999999999">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399999999999999">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399999999999999">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399999999999999">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399999999999999">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399999999999999">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399999999999999">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399999999999999">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399999999999999">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399999999999999">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399999999999999">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399999999999999">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399999999999999">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399999999999999">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399999999999999">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399999999999999">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399999999999999">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399999999999999">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399999999999999">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399999999999999">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399999999999999">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399999999999999">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399999999999999">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399999999999999">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399999999999999">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399999999999999">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399999999999999">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399999999999999">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399999999999999">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399999999999999">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399999999999999">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399999999999999">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399999999999999">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399999999999999">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399999999999999">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399999999999999">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399999999999999">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399999999999999">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399999999999999">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399999999999999">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399999999999999">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399999999999999">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399999999999999">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399999999999999">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399999999999999">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399999999999999">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399999999999999">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399999999999999">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399999999999999">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399999999999999">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399999999999999">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399999999999999">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399999999999999">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399999999999999">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399999999999999">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399999999999999">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399999999999999">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399999999999999">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399999999999999">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399999999999999">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399999999999999">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399999999999999">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399999999999999">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399999999999999">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399999999999999">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399999999999999">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399999999999999">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399999999999999">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399999999999999">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399999999999999">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399999999999999">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399999999999999">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399999999999999">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399999999999999">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399999999999999">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399999999999999">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399999999999999">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399999999999999">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399999999999999">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399999999999999">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399999999999999">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399999999999999">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399999999999999">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399999999999999">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399999999999999">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399999999999999">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399999999999999">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399999999999999">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399999999999999">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399999999999999">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399999999999999">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399999999999999">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399999999999999">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399999999999999">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399999999999999">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399999999999999">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399999999999999">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399999999999999">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399999999999999">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399999999999999">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399999999999999">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399999999999999">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399999999999999">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399999999999999">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399999999999999">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399999999999999">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399999999999999">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399999999999999">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399999999999999">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399999999999999">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399999999999999">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399999999999999">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399999999999999">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399999999999999">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399999999999999">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399999999999999">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399999999999999">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399999999999999">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399999999999999">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399999999999999">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399999999999999">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399999999999999">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399999999999999">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399999999999999">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399999999999999">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399999999999999">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399999999999999">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399999999999999">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399999999999999">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399999999999999">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399999999999999">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399999999999999">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399999999999999">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399999999999999">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399999999999999">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399999999999999">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399999999999999">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399999999999999">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399999999999999">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399999999999999">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399999999999999">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399999999999999">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399999999999999">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399999999999999">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399999999999999">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399999999999999">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399999999999999">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399999999999999">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399999999999999">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399999999999999">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399999999999999">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399999999999999">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399999999999999">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399999999999999">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399999999999999">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399999999999999">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399999999999999">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399999999999999">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399999999999999">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399999999999999">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399999999999999">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399999999999999">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399999999999999">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399999999999999">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399999999999999">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399999999999999">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399999999999999">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399999999999999">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399999999999999">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399999999999999">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399999999999999">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399999999999999">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399999999999999">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399999999999999">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399999999999999">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399999999999999">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399999999999999">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399999999999999">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399999999999999">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399999999999999">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399999999999999">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399999999999999">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399999999999999">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399999999999999">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399999999999999">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399999999999999">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399999999999999">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399999999999999">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399999999999999">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399999999999999">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399999999999999">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399999999999999">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399999999999999">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399999999999999">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399999999999999">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399999999999999">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399999999999999">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399999999999999">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399999999999999">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399999999999999">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399999999999999">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399999999999999">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399999999999999">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399999999999999">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399999999999999">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399999999999999">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399999999999999">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399999999999999">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399999999999999">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399999999999999">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399999999999999">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399999999999999">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399999999999999">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399999999999999">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399999999999999">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399999999999999">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399999999999999">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399999999999999">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399999999999999">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399999999999999">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399999999999999">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399999999999999">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399999999999999">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399999999999999">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399999999999999">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399999999999999">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399999999999999">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399999999999999">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399999999999999">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399999999999999">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399999999999999">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399999999999999">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399999999999999">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399999999999999">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399999999999999">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399999999999999">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399999999999999">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399999999999999">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399999999999999">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399999999999999">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399999999999999">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399999999999999">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399999999999999">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399999999999999">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399999999999999">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399999999999999">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399999999999999">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399999999999999">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399999999999999">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399999999999999">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399999999999999">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399999999999999">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399999999999999">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399999999999999">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399999999999999">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399999999999999">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399999999999999">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399999999999999">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399999999999999">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399999999999999">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399999999999999">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399999999999999">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399999999999999">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399999999999999">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399999999999999">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399999999999999">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399999999999999">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399999999999999">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399999999999999">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399999999999999">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399999999999999">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399999999999999">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399999999999999">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399999999999999">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399999999999999">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399999999999999">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399999999999999">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399999999999999">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399999999999999">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399999999999999">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399999999999999">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399999999999999">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399999999999999">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399999999999999">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399999999999999">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399999999999999">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399999999999999">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399999999999999">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399999999999999">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399999999999999">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399999999999999">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399999999999999">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399999999999999">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399999999999999">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399999999999999">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399999999999999">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399999999999999">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399999999999999">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399999999999999">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399999999999999">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399999999999999">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399999999999999">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399999999999999">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399999999999999">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399999999999999">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399999999999999">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399999999999999">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399999999999999">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399999999999999">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399999999999999">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399999999999999">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399999999999999">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399999999999999">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399999999999999">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399999999999999">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399999999999999">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399999999999999">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399999999999999">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399999999999999">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399999999999999">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399999999999999">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399999999999999">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399999999999999">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399999999999999">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399999999999999">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399999999999999">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399999999999999">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399999999999999">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399999999999999">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399999999999999">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399999999999999">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399999999999999">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399999999999999">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399999999999999">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399999999999999">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399999999999999">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399999999999999">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399999999999999">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399999999999999">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399999999999999">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399999999999999">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399999999999999">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399999999999999">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399999999999999">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399999999999999">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399999999999999">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399999999999999">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399999999999999">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399999999999999">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399999999999999">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399999999999999">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399999999999999">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399999999999999">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399999999999999">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399999999999999">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399999999999999">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399999999999999">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399999999999999">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399999999999999">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399999999999999">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399999999999999">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399999999999999">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399999999999999">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399999999999999">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399999999999999">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399999999999999">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399999999999999">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399999999999999">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399999999999999">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399999999999999">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399999999999999">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399999999999999">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399999999999999">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399999999999999">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399999999999999">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399999999999999">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399999999999999">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399999999999999">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399999999999999">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399999999999999">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399999999999999">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399999999999999">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399999999999999">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399999999999999">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399999999999999">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399999999999999">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399999999999999">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399999999999999">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399999999999999">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399999999999999">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399999999999999">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399999999999999">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399999999999999">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399999999999999">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399999999999999">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399999999999999">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399999999999999">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399999999999999">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399999999999999">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399999999999999">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399999999999999">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399999999999999">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399999999999999">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399999999999999">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399999999999999">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399999999999999">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399999999999999">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399999999999999">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399999999999999">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399999999999999">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399999999999999">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399999999999999">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399999999999999">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399999999999999">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399999999999999">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399999999999999">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399999999999999">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399999999999999">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399999999999999">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399999999999999">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399999999999999">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399999999999999">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399999999999999">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399999999999999">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399999999999999">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399999999999999">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399999999999999">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399999999999999">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399999999999999">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399999999999999">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399999999999999">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399999999999999">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399999999999999">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399999999999999">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399999999999999">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399999999999999">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399999999999999">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399999999999999">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399999999999999">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399999999999999">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399999999999999">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399999999999999">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399999999999999">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399999999999999">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399999999999999">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399999999999999">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399999999999999">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399999999999999">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399999999999999">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399999999999999">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399999999999999">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399999999999999">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399999999999999">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399999999999999">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399999999999999">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399999999999999">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399999999999999">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399999999999999">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399999999999999">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399999999999999">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399999999999999">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399999999999999">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399999999999999">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399999999999999">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399999999999999">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399999999999999">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399999999999999">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399999999999999">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399999999999999">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399999999999999">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399999999999999">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399999999999999">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399999999999999">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399999999999999">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399999999999999">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399999999999999">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399999999999999">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399999999999999">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399999999999999">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399999999999999">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399999999999999">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399999999999999">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399999999999999">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399999999999999">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399999999999999">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399999999999999">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399999999999999">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399999999999999">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399999999999999">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399999999999999">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399999999999999">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399999999999999">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399999999999999">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399999999999999">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399999999999999">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399999999999999">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399999999999999">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399999999999999">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399999999999999">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399999999999999">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399999999999999">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399999999999999">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399999999999999">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399999999999999">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399999999999999">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399999999999999">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399999999999999">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399999999999999">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399999999999999">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399999999999999">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399999999999999">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399999999999999">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399999999999999">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399999999999999">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399999999999999">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399999999999999">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399999999999999">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399999999999999">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399999999999999">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399999999999999">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399999999999999">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399999999999999">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399999999999999">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399999999999999">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399999999999999">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399999999999999">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399999999999999">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399999999999999">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399999999999999">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399999999999999">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399999999999999">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399999999999999">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399999999999999">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399999999999999">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399999999999999">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399999999999999">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399999999999999">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399999999999999">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399999999999999">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399999999999999">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399999999999999">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399999999999999">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399999999999999">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399999999999999">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399999999999999">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399999999999999">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399999999999999">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399999999999999">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399999999999999">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399999999999999">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399999999999999">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399999999999999">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399999999999999">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399999999999999">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399999999999999">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399999999999999">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399999999999999">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399999999999999">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399999999999999">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399999999999999">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399999999999999">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399999999999999">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399999999999999">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399999999999999">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399999999999999">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399999999999999">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399999999999999">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399999999999999">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399999999999999">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399999999999999">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399999999999999">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399999999999999">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399999999999999">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399999999999999">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399999999999999">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399999999999999">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399999999999999">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399999999999999">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399999999999999">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399999999999999">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399999999999999">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399999999999999">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399999999999999">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399999999999999">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399999999999999">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399999999999999">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399999999999999">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399999999999999">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399999999999999">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399999999999999">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399999999999999">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399999999999999">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399999999999999">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399999999999999">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399999999999999">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399999999999999">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399999999999999">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399999999999999">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399999999999999">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399999999999999">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399999999999999">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399999999999999">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399999999999999">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399999999999999">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399999999999999">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399999999999999">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399999999999999">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399999999999999">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399999999999999">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399999999999999">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399999999999999">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399999999999999">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399999999999999">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399999999999999">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399999999999999">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399999999999999">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399999999999999">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399999999999999">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399999999999999">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399999999999999">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399999999999999">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399999999999999">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399999999999999">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399999999999999">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399999999999999">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399999999999999">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399999999999999">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399999999999999">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399999999999999">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399999999999999">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399999999999999">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399999999999999">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399999999999999">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399999999999999">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399999999999999">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399999999999999">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399999999999999">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399999999999999">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399999999999999">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399999999999999">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399999999999999">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399999999999999">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399999999999999">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399999999999999">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399999999999999">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399999999999999">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399999999999999">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399999999999999">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399999999999999">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399999999999999">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399999999999999">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399999999999999">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399999999999999">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399999999999999">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399999999999999">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399999999999999">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399999999999999">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399999999999999">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399999999999999">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399999999999999">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399999999999999">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399999999999999">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399999999999999">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399999999999999">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399999999999999">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399999999999999">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399999999999999">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399999999999999">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399999999999999">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399999999999999">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399999999999999">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399999999999999">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399999999999999">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399999999999999">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399999999999999">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399999999999999">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399999999999999">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399999999999999">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399999999999999">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399999999999999">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399999999999999">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399999999999999">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399999999999999">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399999999999999">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399999999999999">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399999999999999">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399999999999999">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399999999999999">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399999999999999">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399999999999999">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399999999999999">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399999999999999">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399999999999999">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399999999999999">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399999999999999">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399999999999999">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399999999999999">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399999999999999">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399999999999999">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399999999999999">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399999999999999">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399999999999999">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399999999999999">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399999999999999">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399999999999999">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399999999999999">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399999999999999">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399999999999999">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399999999999999">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399999999999999">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399999999999999">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399999999999999">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399999999999999">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399999999999999">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399999999999999">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399999999999999">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399999999999999">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399999999999999">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399999999999999">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399999999999999">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399999999999999">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399999999999999">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399999999999999">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399999999999999">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399999999999999">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399999999999999">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399999999999999">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399999999999999">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399999999999999">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399999999999999">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399999999999999">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399999999999999">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399999999999999">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399999999999999">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399999999999999">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399999999999999">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399999999999999">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399999999999999">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399999999999999">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399999999999999">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399999999999999">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399999999999999">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399999999999999">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399999999999999">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399999999999999">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399999999999999">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399999999999999">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399999999999999">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399999999999999">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399999999999999">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399999999999999">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399999999999999">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399999999999999">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399999999999999">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399999999999999">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399999999999999">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399999999999999">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399999999999999">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399999999999999">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399999999999999">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399999999999999">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399999999999999">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399999999999999">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399999999999999">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399999999999999">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399999999999999">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399999999999999">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399999999999999">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399999999999999">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399999999999999">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399999999999999">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399999999999999">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399999999999999">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399999999999999">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399999999999999">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399999999999999">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399999999999999">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399999999999999">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399999999999999">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399999999999999">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399999999999999">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399999999999999">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399999999999999">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399999999999999">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399999999999999">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399999999999999">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399999999999999">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399999999999999">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399999999999999">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399999999999999">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399999999999999">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399999999999999">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399999999999999">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399999999999999">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399999999999999">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399999999999999">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399999999999999">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399999999999999">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399999999999999">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399999999999999">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399999999999999">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399999999999999">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399999999999999">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399999999999999">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399999999999999">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399999999999999">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399999999999999">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399999999999999">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399999999999999">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399999999999999">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399999999999999">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399999999999999">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399999999999999">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399999999999999">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399999999999999">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399999999999999">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399999999999999">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399999999999999">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399999999999999">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399999999999999">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399999999999999">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399999999999999">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399999999999999">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399999999999999">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399999999999999">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399999999999999">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399999999999999">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399999999999999">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399999999999999">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399999999999999">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399999999999999">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399999999999999">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399999999999999">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399999999999999">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399999999999999">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399999999999999">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399999999999999">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399999999999999">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399999999999999">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399999999999999">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399999999999999">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399999999999999">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399999999999999">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399999999999999">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399999999999999">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399999999999999">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399999999999999">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399999999999999">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399999999999999">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399999999999999">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399999999999999">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399999999999999">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399999999999999">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399999999999999">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399999999999999">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399999999999999">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399999999999999">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399999999999999">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399999999999999">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399999999999999">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399999999999999">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399999999999999">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399999999999999">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399999999999999">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399999999999999">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399999999999999">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399999999999999">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399999999999999">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399999999999999">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399999999999999">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399999999999999">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399999999999999">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399999999999999">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399999999999999">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399999999999999">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399999999999999">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399999999999999">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399999999999999">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399999999999999">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399999999999999">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399999999999999">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399999999999999">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399999999999999">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399999999999999">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399999999999999">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399999999999999">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399999999999999">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399999999999999">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399999999999999">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399999999999999">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399999999999999">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399999999999999">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399999999999999">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399999999999999">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399999999999999">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399999999999999">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399999999999999">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399999999999999">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399999999999999">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399999999999999">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399999999999999">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399999999999999">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399999999999999">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399999999999999">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399999999999999">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399999999999999">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399999999999999">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399999999999999">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399999999999999">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399999999999999">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399999999999999">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399999999999999">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399999999999999">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399999999999999">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399999999999999">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399999999999999">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399999999999999">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399999999999999">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399999999999999">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399999999999999">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399999999999999">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399999999999999">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399999999999999">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2" thickBot="1"/>
  </sheetData>
  <sheetProtection algorithmName="SHA-512" hashValue="A98fmlfEW9fZUHg+AxQnLInHGxueK6X27w9Vo9AmSPxy391IoROBQeFprctRr4WRCjtcinAeOtJuRNHmo/YkBw==" saltValue="WdOfeCWOAljRt+M2zHTfB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F2A63184-E10C-4C6C-95D3-468B8AFFC316}"/>
    </customSheetView>
  </customSheetViews>
  <mergeCells count="3">
    <mergeCell ref="J2:O2"/>
    <mergeCell ref="B3:E3"/>
    <mergeCell ref="G3:I3"/>
  </mergeCells>
  <conditionalFormatting sqref="B5:B2504">
    <cfRule type="expression" dxfId="16" priority="1" stopIfTrue="1">
      <formula>IF(B5="",TRUE)</formula>
    </cfRule>
    <cfRule type="expression" dxfId="15" priority="2" stopIfTrue="1">
      <formula>IF(AND(COUNTIF(MetalSmelter,B5&amp;C5)=0,LEN(C5)&gt;0),TRUE,FALSE)</formula>
    </cfRule>
  </conditionalFormatting>
  <conditionalFormatting sqref="C5:C2504">
    <cfRule type="expression" dxfId="12" priority="9" stopIfTrue="1">
      <formula>IF(AND(B5&lt;&gt;"",C5=""),TRUE)</formula>
    </cfRule>
  </conditionalFormatting>
  <conditionalFormatting sqref="D5:D2504">
    <cfRule type="expression" dxfId="11" priority="13" stopIfTrue="1">
      <formula>IF(AND(LEN($C5)&gt;0,AND($C5&lt;&gt;"Smelter Not Listed",ISBLANK($D5))),1,0)</formula>
    </cfRule>
    <cfRule type="expression" dxfId="10" priority="20" stopIfTrue="1">
      <formula>IF(AND(D5="",$C5=$X$4),TRUE)</formula>
    </cfRule>
    <cfRule type="expression" dxfId="9" priority="21" stopIfTrue="1">
      <formula>IF(FIND("!",D5),TRUE)</formula>
    </cfRule>
  </conditionalFormatting>
  <conditionalFormatting sqref="E5:E2504 R5:R2504">
    <cfRule type="expression" dxfId="8" priority="7" stopIfTrue="1">
      <formula>IF(AND(E5="",$C5=$X$4),TRUE)</formula>
    </cfRule>
    <cfRule type="expression" dxfId="7" priority="8" stopIfTrue="1">
      <formula>IF(FIND("!",E5),TRUE)</formula>
    </cfRule>
  </conditionalFormatting>
  <conditionalFormatting sqref="F5:F2504">
    <cfRule type="expression" dxfId="6" priority="5" stopIfTrue="1">
      <formula>IF(AND(LEN($A5)&gt;0,$A5&lt;&gt;$F5),TRUE,FALSE)</formula>
    </cfRule>
  </conditionalFormatting>
  <conditionalFormatting sqref="G5:G2504">
    <cfRule type="expression" dxfId="5"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s://www.responsiblemineralsinitiative.org/facilities-lists/active-conformant-facilities-list/"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59" activePane="bottomRight" state="frozen"/>
      <selection activeCell="A4" sqref="A4"/>
      <selection pane="topRight" activeCell="A4" sqref="A4"/>
      <selection pane="bottomLeft" activeCell="A4" sqref="A4"/>
      <selection pane="bottomRight" activeCell="A4" sqref="A4"/>
    </sheetView>
  </sheetViews>
  <sheetFormatPr defaultColWidth="8.81640625" defaultRowHeight="12.6"/>
  <cols>
    <col min="1" max="1" width="45.1796875" style="19" customWidth="1"/>
    <col min="2" max="2" width="42.81640625" style="20" customWidth="1"/>
    <col min="3" max="3" width="51.6328125" style="19" customWidth="1"/>
    <col min="4" max="4" width="29.1796875" style="20" customWidth="1"/>
    <col min="5" max="5" width="9" style="19" customWidth="1"/>
    <col min="6" max="6" width="13.6328125" style="19" hidden="1" customWidth="1"/>
    <col min="7" max="7" width="13.36328125" style="19" hidden="1" customWidth="1"/>
    <col min="8" max="9" width="9" style="19" hidden="1" customWidth="1"/>
    <col min="10" max="10" width="48.81640625" style="19" hidden="1" customWidth="1"/>
    <col min="11" max="11" width="9" style="19" hidden="1" customWidth="1"/>
    <col min="12" max="15" width="8.81640625" style="19" hidden="1" customWidth="1"/>
    <col min="16" max="18" width="8.81640625" style="19" customWidth="1"/>
    <col min="19" max="16384" width="8.81640625" style="19"/>
  </cols>
  <sheetData>
    <row r="1" spans="1:10" ht="32.4">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779</v>
      </c>
    </row>
    <row r="2" spans="1:10" ht="16.2">
      <c r="A2" s="66" t="s">
        <v>869</v>
      </c>
      <c r="B2" s="67" t="str">
        <f>IF(F65=1,"Click here to return to Smelter List","")</f>
        <v/>
      </c>
      <c r="C2" s="121" t="str">
        <f>IF(F65=1,"Click here to return to Product List","")</f>
        <v/>
      </c>
      <c r="D2" s="151" t="str">
        <f ca="1">IF(H70=0,"0",H70)</f>
        <v>0</v>
      </c>
    </row>
    <row r="3" spans="1:10" ht="16.2">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512</v>
      </c>
      <c r="G3" s="19" t="s">
        <v>511</v>
      </c>
      <c r="H3" s="19" t="s">
        <v>513</v>
      </c>
      <c r="I3" s="19" t="s">
        <v>1283</v>
      </c>
      <c r="J3" s="19" t="s">
        <v>1284</v>
      </c>
    </row>
    <row r="4" spans="1:10" ht="39">
      <c r="A4" s="90" t="str">
        <f ca="1">Declaration!B8</f>
        <v>Company Name (*):</v>
      </c>
      <c r="B4" s="89" t="str">
        <f>Declaration!D8</f>
        <v>Du-Co Ceramics Company</v>
      </c>
      <c r="C4" s="89" t="str">
        <f t="shared" ref="C4" ca="1" si="0">IF(H4=1,J4,I4)</f>
        <v>Complete</v>
      </c>
      <c r="D4" s="95" t="str">
        <f>IF(H4=1,"Click here to enter Company Name","")</f>
        <v/>
      </c>
      <c r="E4" s="20" t="s">
        <v>1273</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B. Product (or List of Products)</v>
      </c>
      <c r="C5" s="89" t="str">
        <f ca="1">IF(H5=1,J5,I5)</f>
        <v>Complete</v>
      </c>
      <c r="D5" s="95" t="str">
        <f>IF(H5=1,"Click here to enter Declaration Scope","")</f>
        <v/>
      </c>
      <c r="E5" s="20" t="s">
        <v>1273</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Go to Product List tab to enter products this declaration applies to</v>
      </c>
      <c r="B6" s="89">
        <f>Declaration!D10</f>
        <v>0</v>
      </c>
      <c r="C6" s="89" t="str">
        <f ca="1">IF(H6=1,J6,I6)</f>
        <v>Complete</v>
      </c>
      <c r="D6" s="95" t="str">
        <f>IF(H6=1,"Click here to provide a Description of Scope","")</f>
        <v/>
      </c>
      <c r="E6" s="20" t="s">
        <v>1273</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Desiree Geibel</v>
      </c>
      <c r="C7" s="89" t="str">
        <f ca="1">IF(H7=1,J7,I7)</f>
        <v>Complete</v>
      </c>
      <c r="D7" s="95" t="str">
        <f>IF(H7=1,"Click here to enter Contact Name","")</f>
        <v/>
      </c>
      <c r="E7" s="20" t="s">
        <v>1273</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dgeibel@du-co.com</v>
      </c>
      <c r="C8" s="89" t="str">
        <f ca="1">IF(H8=1,J8,I8)</f>
        <v>Complete</v>
      </c>
      <c r="D8" s="95" t="str">
        <f>IF(H8=1,"Click here to enter Email-Contact","")</f>
        <v/>
      </c>
      <c r="E8" s="20" t="s">
        <v>1273</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724-352-1511</v>
      </c>
      <c r="C9" s="89" t="str">
        <f ca="1">IF(H9=1,J9,I9)</f>
        <v>Complete</v>
      </c>
      <c r="D9" s="95" t="str">
        <f>IF(H9=1,"Click here to enter Phone-Contact","")</f>
        <v/>
      </c>
      <c r="E9" s="20" t="s">
        <v>1273</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Michael Crytzer</v>
      </c>
      <c r="C10" s="89" t="str">
        <f t="shared" ref="C10" ca="1" si="4">IF(H10=1,J10,I10)</f>
        <v>Complete</v>
      </c>
      <c r="D10" s="95" t="str">
        <f>IF(H10=1,"Click here to enter an Authorized Company Representative's name","")</f>
        <v/>
      </c>
      <c r="E10" s="20" t="s">
        <v>1273</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mcrytzer@du-co.com</v>
      </c>
      <c r="C11" s="89" t="str">
        <f ca="1">IF(H11=1,J11,I11)</f>
        <v>Complete</v>
      </c>
      <c r="D11" s="95" t="str">
        <f>IF(H11=1,"Click here to enter Representative's email","")</f>
        <v/>
      </c>
      <c r="E11" s="20" t="s">
        <v>1273</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45805</v>
      </c>
      <c r="C12" s="89" t="str">
        <f ca="1">IF(H12=1,J12,I12)</f>
        <v>Complete</v>
      </c>
      <c r="D12" s="95" t="str">
        <f>IF(H12=1,"Click here to enter Date of Completion","")</f>
        <v/>
      </c>
      <c r="E12" s="20" t="s">
        <v>1273</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
      <c r="A13" s="89" t="str">
        <f ca="1">Declaration!B25</f>
        <v>1) Is any 3TG intentionally added or used in the product(s) or in the production process? (*)</v>
      </c>
      <c r="B13" s="92"/>
      <c r="C13" s="92"/>
      <c r="D13" s="96"/>
      <c r="E13" s="20" t="s">
        <v>783</v>
      </c>
      <c r="F13" s="93"/>
      <c r="H13" s="19">
        <f t="shared" si="3"/>
        <v>0</v>
      </c>
    </row>
    <row r="14" spans="1:10" ht="26.4">
      <c r="A14" s="90" t="str">
        <f ca="1">Declaration!B26</f>
        <v xml:space="preserve">Tantalum  </v>
      </c>
      <c r="B14" s="89" t="str">
        <f>Declaration!D26</f>
        <v>No</v>
      </c>
      <c r="C14" s="89" t="str">
        <f ca="1">IF(H14=1,J14,I14)</f>
        <v>Complete</v>
      </c>
      <c r="D14" s="95" t="str">
        <f>IF(H14=1,"Click here to answer question 1 for Tantalum","")</f>
        <v/>
      </c>
      <c r="E14" s="20" t="s">
        <v>779</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780</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0" t="s">
        <v>780</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780</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0.4">
      <c r="A18" s="89" t="str">
        <f ca="1">Declaration!B31</f>
        <v>2) Does any 3TG remain in the product(s)? (*)</v>
      </c>
      <c r="B18" s="92"/>
      <c r="C18" s="92"/>
      <c r="D18" s="96"/>
      <c r="E18" s="20" t="s">
        <v>781</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780</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780</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7" t="str">
        <f>IF(H21=1,"Click here to answer question 2 for Gold","")</f>
        <v/>
      </c>
      <c r="E21" s="20" t="s">
        <v>780</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780</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780</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780</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780</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7" t="str">
        <f>IF(H26=1,"Click here to answer question 3 for Gold","")</f>
        <v/>
      </c>
      <c r="E26" s="20" t="s">
        <v>780</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780</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89" t="str">
        <f ca="1">Declaration!B49</f>
        <v>5) Does 100 percent of the 3TG (necessary to the functionality or production of your products) originate from recycled or scrap sources?  (*)</v>
      </c>
      <c r="B33" s="92"/>
      <c r="C33" s="92"/>
      <c r="D33" s="96"/>
      <c r="E33" s="20" t="s">
        <v>1273</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1273</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1273</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60" t="str">
        <f>IF(H36=1,"Click here to answer question 5 for Gold","")</f>
        <v/>
      </c>
      <c r="E36" s="20" t="s">
        <v>1273</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1273</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89" t="str">
        <f ca="1">Declaration!B55</f>
        <v>6) What percentage of relevant suppliers have provided a response to your supply chain survey?  (*)</v>
      </c>
      <c r="B38" s="92"/>
      <c r="C38" s="92"/>
      <c r="D38" s="96"/>
      <c r="E38" s="20" t="s">
        <v>780</v>
      </c>
      <c r="F38" s="93"/>
    </row>
    <row r="39" spans="1:10" ht="26.4">
      <c r="A39" s="90" t="str">
        <f ca="1">Declaration!B56</f>
        <v xml:space="preserve">Tantalum  </v>
      </c>
      <c r="B39" s="268">
        <f>IF(AND($B$14="Yes",$B$19="Yes"),Declaration!D56,0)</f>
        <v>0</v>
      </c>
      <c r="C39" s="89" t="str">
        <f ca="1">IF(H39=1,J39,I39)</f>
        <v>Complete</v>
      </c>
      <c r="D39" s="261" t="str">
        <f>IF(H39=1,"Click here to answer question 6 for Tantalum","")</f>
        <v/>
      </c>
      <c r="E39" s="20" t="s">
        <v>779</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4">
      <c r="A40" s="90" t="str">
        <f ca="1">Declaration!B57</f>
        <v>Tin  (*)</v>
      </c>
      <c r="B40" s="268" t="str">
        <f>IF(AND($B$15="Yes",$B$20="Yes"),Declaration!D57,0)</f>
        <v>100%</v>
      </c>
      <c r="C40" s="89" t="str">
        <f ca="1">IF(H40=1,J40,I40)</f>
        <v>Complete</v>
      </c>
      <c r="D40" s="261" t="str">
        <f>IF(H40=1,"Click here to answer question 6 for Tin","")</f>
        <v/>
      </c>
      <c r="E40" s="20" t="s">
        <v>779</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4">
      <c r="A41" s="90" t="str">
        <f ca="1">Declaration!B58</f>
        <v xml:space="preserve">Gold  </v>
      </c>
      <c r="B41" s="268">
        <f>IF(AND($B$16="Yes",$B$21="Yes"),Declaration!D58,0)</f>
        <v>0</v>
      </c>
      <c r="C41" s="89" t="str">
        <f ca="1">IF(H41=1,J41,I41)</f>
        <v>Complete</v>
      </c>
      <c r="D41" s="261" t="str">
        <f>IF(H41=1,"Click here to answer question 6 for Gold","")</f>
        <v/>
      </c>
      <c r="E41" s="20" t="s">
        <v>779</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4">
      <c r="A42" s="90" t="str">
        <f ca="1">Declaration!B59</f>
        <v xml:space="preserve">Tungsten  </v>
      </c>
      <c r="B42" s="268">
        <f>IF(AND($B$17="Yes",$B$22="Yes"),Declaration!D59,0)</f>
        <v>0</v>
      </c>
      <c r="C42" s="89" t="str">
        <f ca="1">IF(H42=1,J42,I42)</f>
        <v>Complete</v>
      </c>
      <c r="D42" s="261" t="str">
        <f>IF(H42=1,"Click here to answer question 6 for Tungsten","")</f>
        <v/>
      </c>
      <c r="E42" s="20" t="s">
        <v>779</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0.4">
      <c r="A43" s="89" t="str">
        <f ca="1">Declaration!B61</f>
        <v>7) Have you identified all of the smelters supplying the 3TG to your supply chain?  (*)</v>
      </c>
      <c r="B43" s="92"/>
      <c r="C43" s="92"/>
      <c r="D43" s="96"/>
      <c r="E43" s="20" t="s">
        <v>781</v>
      </c>
      <c r="F43" s="93"/>
    </row>
    <row r="44" spans="1:10" ht="51.6">
      <c r="A44" s="90" t="str">
        <f ca="1">Declaration!B62</f>
        <v xml:space="preserve">Tantalum  </v>
      </c>
      <c r="B44" s="89">
        <f>IF(AND($B$14="Yes",$B$19="Yes"),Declaration!D62,0)</f>
        <v>0</v>
      </c>
      <c r="C44" s="89" t="str">
        <f ca="1">IF(H44=1,J44,I44)</f>
        <v>Complete</v>
      </c>
      <c r="D44" s="260" t="str">
        <f>IF(H44=1,"Click here to answer question 7 for Tantalum","")</f>
        <v/>
      </c>
      <c r="E44" s="20" t="s">
        <v>1269</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6">
      <c r="A45" s="90" t="str">
        <f ca="1">Declaration!B63</f>
        <v>Tin  (*)</v>
      </c>
      <c r="B45" s="89" t="str">
        <f>IF(AND($B$15="Yes",$B$20="Yes"),Declaration!D63,0)</f>
        <v>Yes</v>
      </c>
      <c r="C45" s="89" t="str">
        <f ca="1">IF(H45=1,J45,I45)</f>
        <v>Complete</v>
      </c>
      <c r="D45" s="260" t="str">
        <f>IF(H45=1,"Click here to answer question 7 for Tin","")</f>
        <v/>
      </c>
      <c r="E45" s="20" t="s">
        <v>1269</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6">
      <c r="A46" s="90" t="str">
        <f ca="1">Declaration!B64</f>
        <v xml:space="preserve">Gold  </v>
      </c>
      <c r="B46" s="89">
        <f>IF(AND($B$16="Yes",$B$21="Yes"),Declaration!D64,0)</f>
        <v>0</v>
      </c>
      <c r="C46" s="89" t="str">
        <f ca="1">IF(H46=1,J46,I46)</f>
        <v>Complete</v>
      </c>
      <c r="D46" s="260" t="str">
        <f>IF(H46=1,"Click here to answer question 7 for Gold","")</f>
        <v/>
      </c>
      <c r="E46" s="20" t="s">
        <v>1269</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6">
      <c r="A47" s="90" t="str">
        <f ca="1">Declaration!B65</f>
        <v xml:space="preserve">Tungsten  </v>
      </c>
      <c r="B47" s="89">
        <f>IF(AND($B$17="Yes",$B$22="Yes"),Declaration!D65,0)</f>
        <v>0</v>
      </c>
      <c r="C47" s="89" t="str">
        <f ca="1">IF(H47=1,J47,I47)</f>
        <v>Complete</v>
      </c>
      <c r="D47" s="260" t="str">
        <f>IF(H47=1,"Click here to answer question 7 for Tungsten","")</f>
        <v/>
      </c>
      <c r="E47" s="20" t="s">
        <v>1269</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
      <c r="A48" s="89" t="str">
        <f ca="1">Declaration!B67</f>
        <v>8) Has all applicable smelter information received by your company been reported in this declaration?  (*)</v>
      </c>
      <c r="B48" s="92"/>
      <c r="C48" s="92"/>
      <c r="D48" s="96"/>
      <c r="E48" s="20" t="s">
        <v>782</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780</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780</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61" t="str">
        <f>IF(H51=1,"Click here to answer question 8 for Gold","")</f>
        <v/>
      </c>
      <c r="E51" s="20" t="s">
        <v>780</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780</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2">
      <c r="A53" s="89" t="str">
        <f ca="1">Declaration!B74</f>
        <v>Question</v>
      </c>
      <c r="B53" s="92"/>
      <c r="C53" s="92"/>
      <c r="D53" s="96"/>
      <c r="E53" s="20" t="s">
        <v>428</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1273</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1273</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49999999999997" customHeight="1">
      <c r="A56" s="89" t="s">
        <v>3</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0.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1273</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1273</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1273</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1273</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4"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1273</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1273</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1266</v>
      </c>
      <c r="B64" s="89" t="str">
        <f ca="1">IF(G64=1,"No products or item numbers listed","One or more product / item numbers have been provided")</f>
        <v>One or more product / item numbers have been provided</v>
      </c>
      <c r="C64" s="89" t="str">
        <f t="shared" ca="1" si="13"/>
        <v>Complete</v>
      </c>
      <c r="D64" s="95" t="str">
        <f ca="1">IF(H64=1,"Click here to enter detail on Product List tab","")</f>
        <v/>
      </c>
      <c r="E64" s="20" t="s">
        <v>1273</v>
      </c>
      <c r="F64" s="94">
        <f>IF(B5=Declaration!Q9,1,0)</f>
        <v>1</v>
      </c>
      <c r="G64" s="70" cm="1">
        <f t="array" aca="1" ref="G64" ca="1">IF(INDIRECT("'Product List'!B6")="",1,0)</f>
        <v>0</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14996</v>
      </c>
      <c r="B65" s="89"/>
      <c r="C65" s="89" t="str">
        <f t="shared" ca="1" si="13"/>
        <v>Complete</v>
      </c>
      <c r="D65" s="95" t="str">
        <f ca="1">IF(H65=0,"","Click here to provide smelter information")</f>
        <v/>
      </c>
      <c r="E65" s="20" t="s">
        <v>1273</v>
      </c>
      <c r="F65" s="94">
        <f>F24</f>
        <v>0</v>
      </c>
      <c r="G65" s="70">
        <f ca="1">IF(AND(COUNTIF(SmelterIdetifiedForMetal,"Tantalum")&gt;0,COUNTIF('Smelter List'!AB$5:AB$2504,"Tantalum?*")&gt;0),0,1)</f>
        <v>1</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1806</v>
      </c>
      <c r="B66" s="89"/>
      <c r="C66" s="89" t="str">
        <f t="shared" ca="1" si="13"/>
        <v>Complete</v>
      </c>
      <c r="D66" s="95" t="str">
        <f ca="1">IF(H66=0,"","Click here to provide smelter information")</f>
        <v/>
      </c>
      <c r="E66" s="20" t="s">
        <v>780</v>
      </c>
      <c r="F66" s="94">
        <f>F25</f>
        <v>1</v>
      </c>
      <c r="G66" s="70">
        <f ca="1">IF(AND(COUNTIF(SmelterIdetifiedForMetal,"Tin")&gt;0,COUNTIF('Smelter List'!AB$5:AB$2504,"Tin?*")&gt;0),0,1)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1807</v>
      </c>
      <c r="B67" s="89"/>
      <c r="C67" s="89" t="str">
        <f t="shared" ca="1" si="13"/>
        <v>Complete</v>
      </c>
      <c r="D67" s="95" t="str">
        <f ca="1">IF(H67=0,"","Click here to provide smelter information")</f>
        <v/>
      </c>
      <c r="E67" s="20" t="s">
        <v>780</v>
      </c>
      <c r="F67" s="94">
        <f>F26</f>
        <v>0</v>
      </c>
      <c r="G67" s="70">
        <f ca="1">IF(AND(COUNTIF(SmelterIdetifiedForMetal,"Gold")&gt;0,COUNTIF('Smelter List'!AB$5:AB$2504,"Gold?*")&gt;0),0,1)</f>
        <v>1</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1808</v>
      </c>
      <c r="B68" s="89"/>
      <c r="C68" s="89" t="str">
        <f t="shared" ca="1" si="13"/>
        <v>Complete</v>
      </c>
      <c r="D68" s="95" t="str">
        <f ca="1">IF(H68=0,"","Click here to provide smelter information")</f>
        <v/>
      </c>
      <c r="E68" s="20" t="s">
        <v>780</v>
      </c>
      <c r="F68" s="94">
        <f>F27</f>
        <v>0</v>
      </c>
      <c r="G68" s="70">
        <f ca="1">IF(AND(COUNTIF(SmelterIdetifiedForMetal,"Tungsten")&gt;0,COUNTIF('Smelter List'!AB$5:AB$2504,"Tungsten?*")&gt;0),0,1)</f>
        <v>1</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2">
      <c r="A69" s="162" t="s">
        <v>2302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2303</v>
      </c>
      <c r="K69" s="154"/>
      <c r="L69" s="19" t="s">
        <v>2304</v>
      </c>
    </row>
    <row r="70" spans="1:12">
      <c r="H70" s="19">
        <f ca="1">SUM(H4:H69)</f>
        <v>0</v>
      </c>
    </row>
    <row r="73" spans="1:12" ht="13.2"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1640625" defaultRowHeight="12.6"/>
  <cols>
    <col min="1" max="1" width="3.1796875" style="277" customWidth="1"/>
    <col min="2" max="2" width="39.81640625" style="280" customWidth="1"/>
    <col min="3" max="3" width="39.81640625" style="277" customWidth="1"/>
    <col min="4" max="4" width="58.81640625" style="277" customWidth="1"/>
    <col min="5" max="5" width="1.6328125" style="277" customWidth="1"/>
    <col min="6" max="6" width="9" style="277" customWidth="1"/>
    <col min="7" max="16384" width="8.8164062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ht="13.2">
      <c r="A2" s="23"/>
      <c r="B2" s="120"/>
      <c r="C2" s="120"/>
      <c r="D2"/>
      <c r="E2" s="24"/>
      <c r="F2"/>
    </row>
    <row r="3" spans="1:6" s="21" customFormat="1" ht="13.2">
      <c r="A3" s="23"/>
      <c r="B3" s="120"/>
      <c r="C3" s="120"/>
      <c r="D3" s="120"/>
      <c r="E3" s="24"/>
      <c r="F3"/>
    </row>
    <row r="4" spans="1:6" s="21" customFormat="1" ht="15.75" customHeight="1">
      <c r="A4" s="23"/>
      <c r="B4" s="393" t="s">
        <v>869</v>
      </c>
      <c r="C4" s="393"/>
      <c r="D4" s="393"/>
      <c r="E4" s="24"/>
      <c r="F4"/>
    </row>
    <row r="5" spans="1:6" s="21" customFormat="1" ht="1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
      <c r="A6" s="128"/>
      <c r="B6" s="274" t="s">
        <v>15826</v>
      </c>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35" customHeight="1" thickBot="1">
      <c r="A2006" s="130"/>
      <c r="B2006" s="396" t="str">
        <f ca="1">OFFSET(L!$C$1,MATCH("General"&amp;"Cpy",L!$A:$A,0)-1,SL,,)</f>
        <v>© 2025 Responsible Minerals Initiative. All rights reserved.</v>
      </c>
      <c r="C2006" s="396"/>
      <c r="D2006" s="396"/>
      <c r="E2006" s="279"/>
    </row>
    <row r="2007" spans="1:5" ht="13.2" thickTop="1">
      <c r="D2007" s="281"/>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1640625" defaultRowHeight="12.6"/>
  <cols>
    <col min="1" max="1" width="9.1796875" style="189" bestFit="1" customWidth="1"/>
    <col min="2" max="2" width="42.81640625" style="189" customWidth="1"/>
    <col min="3" max="3" width="63.81640625" style="189" customWidth="1"/>
    <col min="4" max="4" width="25.6328125" style="189" customWidth="1"/>
    <col min="5" max="5" width="12.6328125" style="189" customWidth="1"/>
    <col min="6" max="6" width="12.6328125" style="190" customWidth="1"/>
    <col min="7" max="7" width="15.36328125" style="189" customWidth="1"/>
    <col min="8" max="8" width="23.81640625" style="189" customWidth="1"/>
    <col min="9" max="9" width="28.1796875" style="189" customWidth="1"/>
    <col min="10" max="10" width="48.26953125" style="189" hidden="1" customWidth="1"/>
    <col min="11" max="11" width="49.7265625" style="189" hidden="1" customWidth="1"/>
    <col min="12" max="16384" width="8.8164062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0.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784</v>
      </c>
      <c r="K4" s="191" t="s">
        <v>784</v>
      </c>
    </row>
    <row r="5" spans="1:11" ht="13.5" customHeight="1">
      <c r="A5" s="209" t="s">
        <v>1098</v>
      </c>
      <c r="B5" s="209" t="s">
        <v>13693</v>
      </c>
      <c r="C5" s="209" t="s">
        <v>13693</v>
      </c>
      <c r="D5" s="209" t="s">
        <v>1076</v>
      </c>
      <c r="E5" s="209" t="s">
        <v>13694</v>
      </c>
      <c r="F5" s="283" t="s">
        <v>13177</v>
      </c>
      <c r="H5" s="209" t="s">
        <v>13733</v>
      </c>
      <c r="I5" s="209" t="s">
        <v>6370</v>
      </c>
      <c r="J5" s="231" t="str">
        <f t="shared" ref="J5" si="0">A5&amp;B5</f>
        <v>Gold8853 S.p.A.</v>
      </c>
      <c r="K5" s="231" t="str">
        <f t="shared" ref="K5" si="1">A5&amp;B5</f>
        <v>Gold8853 S.p.A.</v>
      </c>
    </row>
    <row r="6" spans="1:11" ht="13.5" customHeight="1">
      <c r="A6" s="209" t="s">
        <v>1098</v>
      </c>
      <c r="B6" s="209" t="s">
        <v>15273</v>
      </c>
      <c r="C6" s="209" t="s">
        <v>15273</v>
      </c>
      <c r="D6" s="209" t="s">
        <v>1062</v>
      </c>
      <c r="E6" s="209" t="s">
        <v>15274</v>
      </c>
      <c r="F6" s="283" t="s">
        <v>13177</v>
      </c>
      <c r="H6" s="209" t="s">
        <v>15275</v>
      </c>
      <c r="I6" s="209" t="s">
        <v>2770</v>
      </c>
      <c r="J6" s="231" t="str">
        <f t="shared" ref="J6:J18" si="2">A6&amp;B6</f>
        <v>GoldABC Refinery Pty Ltd.</v>
      </c>
      <c r="K6" s="231" t="str">
        <f t="shared" ref="K6:K18" si="3">A6&amp;B6</f>
        <v>GoldABC Refinery Pty Ltd.</v>
      </c>
    </row>
    <row r="7" spans="1:11" ht="13.5" customHeight="1">
      <c r="A7" s="209" t="s">
        <v>1098</v>
      </c>
      <c r="B7" s="209" t="s">
        <v>2385</v>
      </c>
      <c r="C7" s="209" t="s">
        <v>2385</v>
      </c>
      <c r="D7" s="209" t="s">
        <v>2384</v>
      </c>
      <c r="E7" s="209" t="s">
        <v>2386</v>
      </c>
      <c r="F7" s="283" t="s">
        <v>13177</v>
      </c>
      <c r="H7" s="209" t="s">
        <v>2387</v>
      </c>
      <c r="I7" s="209" t="s">
        <v>1699</v>
      </c>
      <c r="J7" s="231" t="str">
        <f t="shared" si="2"/>
        <v>GoldAbington Reldan Metals, LLC</v>
      </c>
      <c r="K7" s="231" t="str">
        <f t="shared" si="3"/>
        <v>GoldAbington Reldan Metals, LLC</v>
      </c>
    </row>
    <row r="8" spans="1:11" ht="13.5" customHeight="1">
      <c r="A8" s="209" t="s">
        <v>1098</v>
      </c>
      <c r="B8" s="209" t="s">
        <v>1349</v>
      </c>
      <c r="C8" s="209" t="s">
        <v>1349</v>
      </c>
      <c r="D8" s="209" t="s">
        <v>2384</v>
      </c>
      <c r="E8" s="209" t="s">
        <v>1350</v>
      </c>
      <c r="F8" s="283" t="s">
        <v>13177</v>
      </c>
      <c r="H8" s="209" t="s">
        <v>1506</v>
      </c>
      <c r="I8" s="209" t="s">
        <v>1507</v>
      </c>
      <c r="J8" s="231" t="str">
        <f t="shared" si="2"/>
        <v>GoldAdvanced Chemical Company</v>
      </c>
      <c r="K8" s="231" t="str">
        <f t="shared" si="3"/>
        <v>GoldAdvanced Chemical Company</v>
      </c>
    </row>
    <row r="9" spans="1:11" ht="13.5" customHeight="1">
      <c r="A9" s="209" t="s">
        <v>1098</v>
      </c>
      <c r="B9" s="209" t="s">
        <v>12864</v>
      </c>
      <c r="C9" s="209" t="s">
        <v>12864</v>
      </c>
      <c r="D9" s="209" t="s">
        <v>861</v>
      </c>
      <c r="E9" s="209" t="s">
        <v>12865</v>
      </c>
      <c r="F9" s="283" t="s">
        <v>13177</v>
      </c>
      <c r="H9" s="209" t="s">
        <v>12888</v>
      </c>
      <c r="I9" s="209" t="s">
        <v>11613</v>
      </c>
      <c r="J9" s="231" t="str">
        <f t="shared" si="2"/>
        <v>GoldAfrican Gold Refinery</v>
      </c>
      <c r="K9" s="231" t="str">
        <f t="shared" si="3"/>
        <v>GoldAfrican Gold Refinery</v>
      </c>
    </row>
    <row r="10" spans="1:11" ht="13.5" customHeight="1">
      <c r="A10" s="209" t="s">
        <v>1098</v>
      </c>
      <c r="B10" s="209" t="s">
        <v>15276</v>
      </c>
      <c r="C10" s="209" t="s">
        <v>15276</v>
      </c>
      <c r="D10" s="209" t="s">
        <v>1070</v>
      </c>
      <c r="E10" s="209" t="s">
        <v>634</v>
      </c>
      <c r="F10" s="283" t="s">
        <v>13177</v>
      </c>
      <c r="H10" s="209" t="s">
        <v>1510</v>
      </c>
      <c r="I10" s="209" t="s">
        <v>1511</v>
      </c>
      <c r="J10" s="231" t="str">
        <f t="shared" si="2"/>
        <v>GoldAgosi AG</v>
      </c>
      <c r="K10" s="231" t="str">
        <f t="shared" si="3"/>
        <v>GoldAgosi AG</v>
      </c>
    </row>
    <row r="11" spans="1:11" ht="13.5" customHeight="1">
      <c r="A11" s="209" t="s">
        <v>1098</v>
      </c>
      <c r="B11" s="209" t="s">
        <v>2439</v>
      </c>
      <c r="C11" s="209" t="s">
        <v>2440</v>
      </c>
      <c r="D11" s="209" t="s">
        <v>1062</v>
      </c>
      <c r="E11" s="209" t="s">
        <v>722</v>
      </c>
      <c r="F11" s="283" t="s">
        <v>13177</v>
      </c>
      <c r="H11" s="209" t="s">
        <v>1645</v>
      </c>
      <c r="I11" s="209" t="s">
        <v>1646</v>
      </c>
      <c r="J11" s="231" t="str">
        <f t="shared" si="2"/>
        <v>GoldAGR (Perth Mint Australia)</v>
      </c>
      <c r="K11" s="231" t="str">
        <f t="shared" si="3"/>
        <v>GoldAGR (Perth Mint Australia)</v>
      </c>
    </row>
    <row r="12" spans="1:11">
      <c r="A12" s="209" t="s">
        <v>1098</v>
      </c>
      <c r="B12" s="209" t="s">
        <v>1647</v>
      </c>
      <c r="C12" s="209" t="s">
        <v>2440</v>
      </c>
      <c r="D12" s="209" t="s">
        <v>1062</v>
      </c>
      <c r="E12" s="209" t="s">
        <v>722</v>
      </c>
      <c r="F12" s="283" t="s">
        <v>13177</v>
      </c>
      <c r="H12" s="209" t="s">
        <v>1645</v>
      </c>
      <c r="I12" s="209" t="s">
        <v>1646</v>
      </c>
      <c r="J12" s="231" t="str">
        <f t="shared" si="2"/>
        <v>GoldAGR Mathey</v>
      </c>
      <c r="K12" s="231" t="str">
        <f t="shared" si="3"/>
        <v>GoldAGR Mathey</v>
      </c>
    </row>
    <row r="13" spans="1:11">
      <c r="A13" s="209" t="s">
        <v>1098</v>
      </c>
      <c r="B13" s="209" t="s">
        <v>2095</v>
      </c>
      <c r="C13" s="209" t="s">
        <v>2095</v>
      </c>
      <c r="D13" s="209" t="s">
        <v>1077</v>
      </c>
      <c r="E13" s="209" t="s">
        <v>633</v>
      </c>
      <c r="F13" s="283" t="s">
        <v>13177</v>
      </c>
      <c r="H13" s="209" t="s">
        <v>1508</v>
      </c>
      <c r="I13" s="209" t="s">
        <v>1509</v>
      </c>
      <c r="J13" s="231" t="str">
        <f t="shared" si="2"/>
        <v>GoldAida Chemical Industries Co., Ltd.</v>
      </c>
      <c r="K13" s="231" t="str">
        <f t="shared" si="3"/>
        <v>GoldAida Chemical Industries Co., Ltd.</v>
      </c>
    </row>
    <row r="14" spans="1:11">
      <c r="A14" s="209" t="s">
        <v>1098</v>
      </c>
      <c r="B14" s="209" t="s">
        <v>14914</v>
      </c>
      <c r="C14" s="209" t="s">
        <v>877</v>
      </c>
      <c r="D14" s="209" t="s">
        <v>1077</v>
      </c>
      <c r="E14" s="209" t="s">
        <v>654</v>
      </c>
      <c r="F14" s="283" t="s">
        <v>13177</v>
      </c>
      <c r="H14" s="209" t="s">
        <v>1541</v>
      </c>
      <c r="I14" s="209" t="s">
        <v>1542</v>
      </c>
      <c r="J14" s="231" t="str">
        <f t="shared" si="2"/>
        <v>GoldAKITA Seiren</v>
      </c>
      <c r="K14" s="231" t="str">
        <f t="shared" si="3"/>
        <v>GoldAKITA Seiren</v>
      </c>
    </row>
    <row r="15" spans="1:11">
      <c r="A15" s="209" t="s">
        <v>1098</v>
      </c>
      <c r="B15" s="209" t="s">
        <v>2441</v>
      </c>
      <c r="C15" s="209" t="s">
        <v>1666</v>
      </c>
      <c r="D15" s="209" t="s">
        <v>1061</v>
      </c>
      <c r="E15" s="209" t="s">
        <v>1667</v>
      </c>
      <c r="F15" s="283" t="s">
        <v>13177</v>
      </c>
      <c r="H15" s="209" t="s">
        <v>1668</v>
      </c>
      <c r="I15" s="209" t="s">
        <v>2524</v>
      </c>
      <c r="J15" s="231" t="str">
        <f t="shared" si="2"/>
        <v>GoldAl Etihad Gold LLC</v>
      </c>
      <c r="K15" s="231" t="str">
        <f t="shared" si="3"/>
        <v>GoldAl Etihad Gold LLC</v>
      </c>
    </row>
    <row r="16" spans="1:11">
      <c r="A16" s="209" t="s">
        <v>1098</v>
      </c>
      <c r="B16" s="209" t="s">
        <v>1666</v>
      </c>
      <c r="C16" s="209" t="s">
        <v>1666</v>
      </c>
      <c r="D16" s="209" t="s">
        <v>1061</v>
      </c>
      <c r="E16" s="209" t="s">
        <v>1667</v>
      </c>
      <c r="F16" s="283" t="s">
        <v>13177</v>
      </c>
      <c r="H16" s="209" t="s">
        <v>1668</v>
      </c>
      <c r="I16" s="209" t="s">
        <v>2524</v>
      </c>
      <c r="J16" s="231" t="str">
        <f t="shared" si="2"/>
        <v>GoldAl Etihad Gold Refinery DMCC</v>
      </c>
      <c r="K16" s="231" t="str">
        <f t="shared" si="3"/>
        <v>GoldAl Etihad Gold Refinery DMCC</v>
      </c>
    </row>
    <row r="17" spans="1:11">
      <c r="A17" s="209" t="s">
        <v>1098</v>
      </c>
      <c r="B17" s="209" t="s">
        <v>15277</v>
      </c>
      <c r="C17" s="209" t="s">
        <v>15277</v>
      </c>
      <c r="D17" s="209" t="s">
        <v>13043</v>
      </c>
      <c r="E17" s="209" t="s">
        <v>15278</v>
      </c>
      <c r="F17" s="283" t="s">
        <v>13177</v>
      </c>
      <c r="H17" s="209" t="s">
        <v>15279</v>
      </c>
      <c r="I17" s="209" t="s">
        <v>9531</v>
      </c>
      <c r="J17" s="231" t="str">
        <f t="shared" si="2"/>
        <v>GoldAlbino Mountinho Lda.</v>
      </c>
      <c r="K17" s="231" t="str">
        <f t="shared" si="3"/>
        <v>GoldAlbino Mountinho Lda.</v>
      </c>
    </row>
    <row r="18" spans="1:11">
      <c r="A18" s="209" t="s">
        <v>1098</v>
      </c>
      <c r="B18" s="209" t="s">
        <v>14915</v>
      </c>
      <c r="C18" s="209" t="s">
        <v>14915</v>
      </c>
      <c r="D18" s="209" t="s">
        <v>2384</v>
      </c>
      <c r="E18" s="209" t="s">
        <v>14916</v>
      </c>
      <c r="F18" s="283" t="s">
        <v>13177</v>
      </c>
      <c r="H18" s="209" t="s">
        <v>14978</v>
      </c>
      <c r="I18" s="209" t="s">
        <v>1601</v>
      </c>
      <c r="J18" s="231" t="str">
        <f t="shared" si="2"/>
        <v>GoldAlexy Metals</v>
      </c>
      <c r="K18" s="231" t="str">
        <f t="shared" si="3"/>
        <v>GoldAlexy Metals</v>
      </c>
    </row>
    <row r="19" spans="1:11">
      <c r="A19" s="209" t="s">
        <v>1098</v>
      </c>
      <c r="B19" s="209" t="s">
        <v>49</v>
      </c>
      <c r="C19" s="209" t="s">
        <v>15276</v>
      </c>
      <c r="D19" s="209" t="s">
        <v>1070</v>
      </c>
      <c r="E19" s="209" t="s">
        <v>634</v>
      </c>
      <c r="F19" s="283"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c r="A20" s="209" t="s">
        <v>1098</v>
      </c>
      <c r="B20" s="209" t="s">
        <v>607</v>
      </c>
      <c r="C20" s="209" t="s">
        <v>607</v>
      </c>
      <c r="D20" s="209" t="s">
        <v>862</v>
      </c>
      <c r="E20" s="209" t="s">
        <v>635</v>
      </c>
      <c r="F20" s="283" t="s">
        <v>13177</v>
      </c>
      <c r="H20" s="209" t="s">
        <v>1512</v>
      </c>
      <c r="I20" s="209" t="s">
        <v>11961</v>
      </c>
      <c r="J20" s="231" t="str">
        <f t="shared" si="4"/>
        <v>GoldAlmalyk Mining and Metallurgical Complex (AMMC)</v>
      </c>
      <c r="K20" s="231" t="str">
        <f t="shared" si="5"/>
        <v>GoldAlmalyk Mining and Metallurgical Complex (AMMC)</v>
      </c>
    </row>
    <row r="21" spans="1:11">
      <c r="A21" s="209" t="s">
        <v>1098</v>
      </c>
      <c r="B21" s="209" t="s">
        <v>1519</v>
      </c>
      <c r="C21" s="209" t="s">
        <v>15670</v>
      </c>
      <c r="D21" s="209" t="s">
        <v>1077</v>
      </c>
      <c r="E21" s="209" t="s">
        <v>638</v>
      </c>
      <c r="F21" s="283" t="s">
        <v>13177</v>
      </c>
      <c r="H21" s="209" t="s">
        <v>15680</v>
      </c>
      <c r="I21" s="209" t="s">
        <v>1712</v>
      </c>
      <c r="J21" s="231" t="str">
        <f t="shared" si="4"/>
        <v>GoldAmagasaki Factory, Hyogo Prefecture, Japan</v>
      </c>
      <c r="K21" s="231" t="str">
        <f t="shared" si="5"/>
        <v>GoldAmagasaki Factory, Hyogo Prefecture, Japan</v>
      </c>
    </row>
    <row r="22" spans="1:11">
      <c r="A22" s="209" t="s">
        <v>1098</v>
      </c>
      <c r="B22" s="209" t="s">
        <v>2442</v>
      </c>
      <c r="C22" s="209" t="s">
        <v>12375</v>
      </c>
      <c r="D22" s="209" t="s">
        <v>1065</v>
      </c>
      <c r="E22" s="209" t="s">
        <v>636</v>
      </c>
      <c r="F22" s="283" t="s">
        <v>13177</v>
      </c>
      <c r="H22" s="209" t="s">
        <v>1514</v>
      </c>
      <c r="I22" s="209" t="s">
        <v>1515</v>
      </c>
      <c r="J22" s="231" t="str">
        <f t="shared" si="4"/>
        <v>GoldAngloGold Ashanti Brazil</v>
      </c>
      <c r="K22" s="231" t="str">
        <f t="shared" si="5"/>
        <v>GoldAngloGold Ashanti Brazil</v>
      </c>
    </row>
    <row r="23" spans="1:11">
      <c r="A23" s="209" t="s">
        <v>1098</v>
      </c>
      <c r="B23" s="209" t="s">
        <v>12375</v>
      </c>
      <c r="C23" s="209" t="s">
        <v>12375</v>
      </c>
      <c r="D23" s="209" t="s">
        <v>1065</v>
      </c>
      <c r="E23" s="209" t="s">
        <v>636</v>
      </c>
      <c r="F23" s="283" t="s">
        <v>13177</v>
      </c>
      <c r="H23" s="209" t="s">
        <v>1514</v>
      </c>
      <c r="I23" s="209" t="s">
        <v>1515</v>
      </c>
      <c r="J23" s="231" t="str">
        <f t="shared" si="4"/>
        <v>GoldAngloGold Ashanti Corrego do Sitio Mineracao</v>
      </c>
      <c r="K23" s="231" t="str">
        <f t="shared" si="5"/>
        <v>GoldAngloGold Ashanti Corrego do Sitio Mineracao</v>
      </c>
    </row>
    <row r="24" spans="1:11">
      <c r="A24" s="209" t="s">
        <v>1098</v>
      </c>
      <c r="B24" s="209" t="s">
        <v>1513</v>
      </c>
      <c r="C24" s="209" t="s">
        <v>12375</v>
      </c>
      <c r="D24" s="209" t="s">
        <v>1065</v>
      </c>
      <c r="E24" s="209" t="s">
        <v>636</v>
      </c>
      <c r="F24" s="283" t="s">
        <v>13177</v>
      </c>
      <c r="H24" s="209" t="s">
        <v>1514</v>
      </c>
      <c r="I24" s="209" t="s">
        <v>1515</v>
      </c>
      <c r="J24" s="231" t="str">
        <f t="shared" si="4"/>
        <v>GoldAngloGold Ashanti Córrego do Sítio Mineração</v>
      </c>
      <c r="K24" s="231" t="str">
        <f t="shared" si="5"/>
        <v>GoldAngloGold Ashanti Córrego do Sítio Mineração</v>
      </c>
    </row>
    <row r="25" spans="1:11">
      <c r="A25" s="209" t="s">
        <v>1098</v>
      </c>
      <c r="B25" s="209" t="s">
        <v>1637</v>
      </c>
      <c r="C25" s="209" t="s">
        <v>2150</v>
      </c>
      <c r="D25" s="209" t="s">
        <v>1069</v>
      </c>
      <c r="E25" s="209" t="s">
        <v>717</v>
      </c>
      <c r="F25" s="283" t="s">
        <v>13177</v>
      </c>
      <c r="H25" s="209" t="s">
        <v>1636</v>
      </c>
      <c r="I25" s="209" t="s">
        <v>13529</v>
      </c>
      <c r="J25" s="231" t="str">
        <f t="shared" si="4"/>
        <v>GoldAnhui Tongling Nonferrous Metal Mining Co., Ltd.</v>
      </c>
      <c r="K25" s="231" t="str">
        <f t="shared" si="5"/>
        <v>GoldAnhui Tongling Nonferrous Metal Mining Co., Ltd.</v>
      </c>
    </row>
    <row r="26" spans="1:11">
      <c r="A26" s="209" t="s">
        <v>1098</v>
      </c>
      <c r="B26" s="209" t="s">
        <v>1648</v>
      </c>
      <c r="C26" s="209" t="s">
        <v>2440</v>
      </c>
      <c r="D26" s="209" t="s">
        <v>1062</v>
      </c>
      <c r="E26" s="209" t="s">
        <v>722</v>
      </c>
      <c r="F26" s="283" t="s">
        <v>13177</v>
      </c>
      <c r="H26" s="209" t="s">
        <v>1645</v>
      </c>
      <c r="I26" s="209" t="s">
        <v>1646</v>
      </c>
      <c r="J26" s="231" t="str">
        <f t="shared" si="4"/>
        <v>GoldANZ (Perth Mint 4N)</v>
      </c>
      <c r="K26" s="231" t="str">
        <f t="shared" si="5"/>
        <v>GoldANZ (Perth Mint 4N)</v>
      </c>
    </row>
    <row r="27" spans="1:11">
      <c r="A27" s="209" t="s">
        <v>1098</v>
      </c>
      <c r="B27" s="209" t="s">
        <v>13695</v>
      </c>
      <c r="C27" s="209" t="s">
        <v>2440</v>
      </c>
      <c r="D27" s="209" t="s">
        <v>1062</v>
      </c>
      <c r="E27" s="209" t="s">
        <v>722</v>
      </c>
      <c r="F27" s="283" t="s">
        <v>13177</v>
      </c>
      <c r="H27" s="209" t="s">
        <v>1645</v>
      </c>
      <c r="I27" s="209" t="s">
        <v>1646</v>
      </c>
      <c r="J27" s="231" t="str">
        <f t="shared" si="4"/>
        <v>GoldANZ Bank</v>
      </c>
      <c r="K27" s="231" t="str">
        <f t="shared" si="5"/>
        <v>GoldANZ Bank</v>
      </c>
    </row>
    <row r="28" spans="1:11">
      <c r="A28" s="209" t="s">
        <v>1098</v>
      </c>
      <c r="B28" s="209" t="s">
        <v>2236</v>
      </c>
      <c r="C28" s="209" t="s">
        <v>2236</v>
      </c>
      <c r="D28" s="209" t="s">
        <v>1067</v>
      </c>
      <c r="E28" s="209" t="s">
        <v>637</v>
      </c>
      <c r="F28" s="283" t="s">
        <v>13177</v>
      </c>
      <c r="H28" s="209" t="s">
        <v>1516</v>
      </c>
      <c r="I28" s="209" t="s">
        <v>1517</v>
      </c>
      <c r="J28" s="231" t="str">
        <f t="shared" si="4"/>
        <v>GoldArgor-Heraeus S.A.</v>
      </c>
      <c r="K28" s="231" t="str">
        <f t="shared" si="5"/>
        <v>GoldArgor-Heraeus S.A.</v>
      </c>
    </row>
    <row r="29" spans="1:11">
      <c r="A29" s="209" t="s">
        <v>1098</v>
      </c>
      <c r="B29" s="209" t="s">
        <v>15670</v>
      </c>
      <c r="C29" s="209" t="s">
        <v>15670</v>
      </c>
      <c r="D29" s="209" t="s">
        <v>1077</v>
      </c>
      <c r="E29" s="209" t="s">
        <v>638</v>
      </c>
      <c r="F29" s="283" t="s">
        <v>13177</v>
      </c>
      <c r="H29" s="209" t="s">
        <v>15680</v>
      </c>
      <c r="I29" s="209" t="s">
        <v>1712</v>
      </c>
      <c r="J29" s="231" t="str">
        <f t="shared" si="4"/>
        <v>GoldASAHI METALFINE, Inc.</v>
      </c>
      <c r="K29" s="231" t="str">
        <f t="shared" si="5"/>
        <v>GoldASAHI METALFINE, Inc.</v>
      </c>
    </row>
    <row r="30" spans="1:11">
      <c r="A30" s="209" t="s">
        <v>1098</v>
      </c>
      <c r="B30" s="209" t="s">
        <v>2237</v>
      </c>
      <c r="C30" s="209" t="s">
        <v>15670</v>
      </c>
      <c r="D30" s="209" t="s">
        <v>1077</v>
      </c>
      <c r="E30" s="209" t="s">
        <v>638</v>
      </c>
      <c r="F30" s="283" t="s">
        <v>13177</v>
      </c>
      <c r="H30" s="209" t="s">
        <v>15680</v>
      </c>
      <c r="I30" s="209" t="s">
        <v>1712</v>
      </c>
      <c r="J30" s="231" t="str">
        <f t="shared" si="4"/>
        <v>GoldAsahi Pretec Corp.</v>
      </c>
      <c r="K30" s="231" t="str">
        <f t="shared" si="5"/>
        <v>GoldAsahi Pretec Corp.</v>
      </c>
    </row>
    <row r="31" spans="1:11">
      <c r="A31" s="209" t="s">
        <v>1098</v>
      </c>
      <c r="B31" s="209" t="s">
        <v>2238</v>
      </c>
      <c r="C31" s="209" t="s">
        <v>2238</v>
      </c>
      <c r="D31" s="209" t="s">
        <v>1066</v>
      </c>
      <c r="E31" s="209" t="s">
        <v>670</v>
      </c>
      <c r="F31" s="283" t="s">
        <v>13177</v>
      </c>
      <c r="H31" s="209" t="s">
        <v>1568</v>
      </c>
      <c r="I31" s="209" t="s">
        <v>1569</v>
      </c>
      <c r="J31" s="231" t="str">
        <f t="shared" si="4"/>
        <v>GoldAsahi Refining Canada Ltd.</v>
      </c>
      <c r="K31" s="231" t="str">
        <f t="shared" si="5"/>
        <v>GoldAsahi Refining Canada Ltd.</v>
      </c>
    </row>
    <row r="32" spans="1:11">
      <c r="A32" s="209" t="s">
        <v>1098</v>
      </c>
      <c r="B32" s="209" t="s">
        <v>2153</v>
      </c>
      <c r="C32" s="209" t="s">
        <v>2153</v>
      </c>
      <c r="D32" s="209" t="s">
        <v>2384</v>
      </c>
      <c r="E32" s="209" t="s">
        <v>669</v>
      </c>
      <c r="F32" s="283" t="s">
        <v>13177</v>
      </c>
      <c r="H32" s="209" t="s">
        <v>1565</v>
      </c>
      <c r="I32" s="209" t="s">
        <v>1566</v>
      </c>
      <c r="J32" s="231" t="str">
        <f t="shared" si="4"/>
        <v>GoldAsahi Refining USA Inc.</v>
      </c>
      <c r="K32" s="231" t="str">
        <f t="shared" si="5"/>
        <v>GoldAsahi Refining USA Inc.</v>
      </c>
    </row>
    <row r="33" spans="1:11">
      <c r="A33" s="209" t="s">
        <v>1098</v>
      </c>
      <c r="B33" s="209" t="s">
        <v>2096</v>
      </c>
      <c r="C33" s="209" t="s">
        <v>2096</v>
      </c>
      <c r="D33" s="209" t="s">
        <v>1077</v>
      </c>
      <c r="E33" s="209" t="s">
        <v>639</v>
      </c>
      <c r="F33" s="283" t="s">
        <v>13177</v>
      </c>
      <c r="H33" s="209" t="s">
        <v>1520</v>
      </c>
      <c r="I33" s="209" t="s">
        <v>1521</v>
      </c>
      <c r="J33" s="231" t="str">
        <f t="shared" si="4"/>
        <v>GoldAsaka Riken Co., Ltd.</v>
      </c>
      <c r="K33" s="231" t="str">
        <f t="shared" si="5"/>
        <v>GoldAsaka Riken Co., Ltd.</v>
      </c>
    </row>
    <row r="34" spans="1:11">
      <c r="A34" s="209" t="s">
        <v>1098</v>
      </c>
      <c r="B34" s="209" t="s">
        <v>1190</v>
      </c>
      <c r="C34" s="209" t="s">
        <v>608</v>
      </c>
      <c r="D34" s="209" t="s">
        <v>860</v>
      </c>
      <c r="E34" s="209" t="s">
        <v>640</v>
      </c>
      <c r="F34" s="283" t="s">
        <v>13177</v>
      </c>
      <c r="H34" s="209" t="s">
        <v>1522</v>
      </c>
      <c r="I34" s="209" t="s">
        <v>11215</v>
      </c>
      <c r="J34" s="231" t="str">
        <f t="shared" si="4"/>
        <v>GoldATAkulche</v>
      </c>
      <c r="K34" s="231" t="str">
        <f t="shared" si="5"/>
        <v>GoldATAkulche</v>
      </c>
    </row>
    <row r="35" spans="1:11">
      <c r="A35" s="209" t="s">
        <v>1098</v>
      </c>
      <c r="B35" s="209" t="s">
        <v>608</v>
      </c>
      <c r="C35" s="209" t="s">
        <v>608</v>
      </c>
      <c r="D35" s="209" t="s">
        <v>860</v>
      </c>
      <c r="E35" s="209" t="s">
        <v>640</v>
      </c>
      <c r="F35" s="283" t="s">
        <v>13177</v>
      </c>
      <c r="H35" s="209" t="s">
        <v>1522</v>
      </c>
      <c r="I35" t="s">
        <v>11215</v>
      </c>
      <c r="J35" s="231" t="str">
        <f t="shared" si="4"/>
        <v>GoldAtasay Kuyumculuk Sanayi Ve Ticaret A.S.</v>
      </c>
      <c r="K35" s="231" t="str">
        <f t="shared" si="5"/>
        <v>GoldAtasay Kuyumculuk Sanayi Ve Ticaret A.S.</v>
      </c>
    </row>
    <row r="36" spans="1:11">
      <c r="A36" s="209" t="s">
        <v>1098</v>
      </c>
      <c r="B36" s="209" t="s">
        <v>15595</v>
      </c>
      <c r="C36" s="209" t="s">
        <v>15595</v>
      </c>
      <c r="D36" s="209" t="s">
        <v>1075</v>
      </c>
      <c r="E36" s="209" t="s">
        <v>15596</v>
      </c>
      <c r="F36" s="283" t="s">
        <v>13177</v>
      </c>
      <c r="H36" s="209" t="s">
        <v>15681</v>
      </c>
      <c r="I36" s="209" t="s">
        <v>15390</v>
      </c>
      <c r="J36" s="231" t="str">
        <f t="shared" si="4"/>
        <v>GoldAttero Recycling Pvt Ltd</v>
      </c>
      <c r="K36" s="231" t="str">
        <f t="shared" si="5"/>
        <v>GoldAttero Recycling Pvt Ltd</v>
      </c>
    </row>
    <row r="37" spans="1:11">
      <c r="A37" s="209" t="s">
        <v>1098</v>
      </c>
      <c r="B37" s="209" t="s">
        <v>2239</v>
      </c>
      <c r="C37" s="209" t="s">
        <v>2239</v>
      </c>
      <c r="D37" s="209" t="s">
        <v>864</v>
      </c>
      <c r="E37" s="209" t="s">
        <v>2240</v>
      </c>
      <c r="F37" s="283" t="s">
        <v>13177</v>
      </c>
      <c r="H37" s="209" t="s">
        <v>2241</v>
      </c>
      <c r="I37" s="209" t="s">
        <v>1610</v>
      </c>
      <c r="J37" s="231" t="str">
        <f t="shared" si="4"/>
        <v>GoldAU Traders and Refiners</v>
      </c>
      <c r="K37" s="231" t="str">
        <f t="shared" si="5"/>
        <v>GoldAU Traders and Refiners</v>
      </c>
    </row>
    <row r="38" spans="1:11">
      <c r="A38" s="209" t="s">
        <v>1098</v>
      </c>
      <c r="B38" s="209" t="s">
        <v>13745</v>
      </c>
      <c r="C38" s="209" t="s">
        <v>13745</v>
      </c>
      <c r="D38" s="209" t="s">
        <v>1075</v>
      </c>
      <c r="E38" s="209" t="s">
        <v>13767</v>
      </c>
      <c r="F38" s="283" t="s">
        <v>13177</v>
      </c>
      <c r="H38" s="209" t="s">
        <v>13781</v>
      </c>
      <c r="I38" s="209" t="s">
        <v>15280</v>
      </c>
      <c r="J38" s="231" t="str">
        <f t="shared" si="4"/>
        <v>GoldAugmont Enterprises Private Limited</v>
      </c>
      <c r="K38" s="231" t="str">
        <f t="shared" si="5"/>
        <v>GoldAugmont Enterprises Private Limited</v>
      </c>
    </row>
    <row r="39" spans="1:11">
      <c r="A39" s="209" t="s">
        <v>1098</v>
      </c>
      <c r="B39" s="209" t="s">
        <v>1191</v>
      </c>
      <c r="C39" s="209" t="s">
        <v>1191</v>
      </c>
      <c r="D39" s="209" t="s">
        <v>1070</v>
      </c>
      <c r="E39" s="209" t="s">
        <v>641</v>
      </c>
      <c r="F39" s="283" t="s">
        <v>13177</v>
      </c>
      <c r="H39" s="209" t="s">
        <v>1523</v>
      </c>
      <c r="I39" s="209" t="s">
        <v>1523</v>
      </c>
      <c r="J39" s="231" t="str">
        <f t="shared" si="4"/>
        <v>GoldAurubis AG</v>
      </c>
      <c r="K39" s="231" t="str">
        <f t="shared" si="5"/>
        <v>GoldAurubis AG</v>
      </c>
    </row>
    <row r="40" spans="1:11">
      <c r="A40" s="209" t="s">
        <v>1098</v>
      </c>
      <c r="B40" s="209" t="s">
        <v>2443</v>
      </c>
      <c r="C40" s="209" t="s">
        <v>2243</v>
      </c>
      <c r="D40" s="209" t="s">
        <v>1075</v>
      </c>
      <c r="E40" s="209" t="s">
        <v>2244</v>
      </c>
      <c r="F40" s="283" t="s">
        <v>13177</v>
      </c>
      <c r="H40" s="209" t="s">
        <v>2298</v>
      </c>
      <c r="I40" s="209" t="s">
        <v>15384</v>
      </c>
      <c r="J40" s="231" t="str">
        <f t="shared" si="4"/>
        <v>GoldBALORE REFINERSGA</v>
      </c>
      <c r="K40" s="231" t="str">
        <f t="shared" si="5"/>
        <v>GoldBALORE REFINERSGA</v>
      </c>
    </row>
    <row r="41" spans="1:11">
      <c r="A41" s="209" t="s">
        <v>1098</v>
      </c>
      <c r="B41" s="209" t="s">
        <v>2243</v>
      </c>
      <c r="C41" s="209" t="s">
        <v>2243</v>
      </c>
      <c r="D41" s="209" t="s">
        <v>1075</v>
      </c>
      <c r="E41" s="209" t="s">
        <v>2244</v>
      </c>
      <c r="F41" s="283" t="s">
        <v>13177</v>
      </c>
      <c r="H41" s="209" t="s">
        <v>2298</v>
      </c>
      <c r="I41" s="209" t="s">
        <v>15384</v>
      </c>
      <c r="J41" s="231" t="str">
        <f t="shared" si="4"/>
        <v>GoldBangalore Refinery</v>
      </c>
      <c r="K41" s="231" t="str">
        <f t="shared" si="5"/>
        <v>GoldBangalore Refinery</v>
      </c>
    </row>
    <row r="42" spans="1:11">
      <c r="A42" s="209" t="s">
        <v>1098</v>
      </c>
      <c r="B42" s="209" t="s">
        <v>2444</v>
      </c>
      <c r="C42" s="209" t="s">
        <v>2243</v>
      </c>
      <c r="D42" s="209" t="s">
        <v>1075</v>
      </c>
      <c r="E42" s="209" t="s">
        <v>2244</v>
      </c>
      <c r="F42" s="283" t="s">
        <v>13177</v>
      </c>
      <c r="H42" s="209" t="s">
        <v>2298</v>
      </c>
      <c r="I42" s="209" t="s">
        <v>15384</v>
      </c>
      <c r="J42" s="231" t="str">
        <f t="shared" si="4"/>
        <v>GoldBangalore Refinery Pvt Ltd</v>
      </c>
      <c r="K42" s="231" t="str">
        <f t="shared" si="5"/>
        <v>GoldBangalore Refinery Pvt Ltd</v>
      </c>
    </row>
    <row r="43" spans="1:11">
      <c r="A43" s="209" t="s">
        <v>1098</v>
      </c>
      <c r="B43" s="209" t="s">
        <v>875</v>
      </c>
      <c r="C43" s="209" t="s">
        <v>875</v>
      </c>
      <c r="D43" s="209" t="s">
        <v>852</v>
      </c>
      <c r="E43" s="209" t="s">
        <v>642</v>
      </c>
      <c r="F43" s="283"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c r="A44" s="209" t="s">
        <v>1098</v>
      </c>
      <c r="B44" s="209" t="s">
        <v>15597</v>
      </c>
      <c r="C44" s="209" t="s">
        <v>15597</v>
      </c>
      <c r="D44" s="209" t="s">
        <v>858</v>
      </c>
      <c r="E44" s="209" t="s">
        <v>643</v>
      </c>
      <c r="F44" s="283" t="s">
        <v>13177</v>
      </c>
      <c r="H44" s="209" t="s">
        <v>1525</v>
      </c>
      <c r="I44" s="209" t="s">
        <v>10222</v>
      </c>
      <c r="J44" s="231" t="str">
        <f t="shared" si="4"/>
        <v>GoldBoliden Ronnskar</v>
      </c>
      <c r="K44" s="231" t="str">
        <f t="shared" si="5"/>
        <v>GoldBoliden Ronnskar</v>
      </c>
    </row>
    <row r="45" spans="1:11">
      <c r="A45" s="209" t="s">
        <v>1098</v>
      </c>
      <c r="B45" s="209" t="s">
        <v>644</v>
      </c>
      <c r="C45" s="209" t="s">
        <v>644</v>
      </c>
      <c r="D45" s="209" t="s">
        <v>1070</v>
      </c>
      <c r="E45" s="209" t="s">
        <v>645</v>
      </c>
      <c r="F45" s="283" t="s">
        <v>13177</v>
      </c>
      <c r="H45" s="209" t="s">
        <v>1510</v>
      </c>
      <c r="I45" s="209" t="s">
        <v>1511</v>
      </c>
      <c r="J45" s="231" t="str">
        <f t="shared" si="4"/>
        <v>GoldC. Hafner GmbH + Co. KG</v>
      </c>
      <c r="K45" s="231" t="str">
        <f t="shared" si="5"/>
        <v>GoldC. Hafner GmbH + Co. KG</v>
      </c>
    </row>
    <row r="46" spans="1:11">
      <c r="A46" s="209" t="s">
        <v>1098</v>
      </c>
      <c r="B46" s="209" t="s">
        <v>876</v>
      </c>
      <c r="C46" s="209" t="s">
        <v>876</v>
      </c>
      <c r="D46" s="209" t="s">
        <v>1082</v>
      </c>
      <c r="E46" s="209" t="s">
        <v>646</v>
      </c>
      <c r="F46" s="283" t="s">
        <v>13177</v>
      </c>
      <c r="H46" s="209" t="s">
        <v>1526</v>
      </c>
      <c r="I46" s="209" t="s">
        <v>1527</v>
      </c>
      <c r="J46" s="231" t="str">
        <f t="shared" si="4"/>
        <v>GoldCaridad</v>
      </c>
      <c r="K46" s="231" t="str">
        <f t="shared" si="5"/>
        <v>GoldCaridad</v>
      </c>
    </row>
    <row r="47" spans="1:11">
      <c r="A47" s="209" t="s">
        <v>1098</v>
      </c>
      <c r="B47" s="209" t="s">
        <v>1530</v>
      </c>
      <c r="C47" s="209" t="s">
        <v>2192</v>
      </c>
      <c r="D47" s="209" t="s">
        <v>1066</v>
      </c>
      <c r="E47" s="209" t="s">
        <v>647</v>
      </c>
      <c r="F47" s="283" t="s">
        <v>13177</v>
      </c>
      <c r="H47" s="209" t="s">
        <v>1528</v>
      </c>
      <c r="I47" s="209" t="s">
        <v>1529</v>
      </c>
      <c r="J47" s="231" t="str">
        <f t="shared" si="4"/>
        <v>GoldCCR</v>
      </c>
      <c r="K47" s="231" t="str">
        <f t="shared" si="5"/>
        <v>GoldCCR</v>
      </c>
    </row>
    <row r="48" spans="1:11">
      <c r="A48" s="209" t="s">
        <v>1098</v>
      </c>
      <c r="B48" s="209" t="s">
        <v>2192</v>
      </c>
      <c r="C48" s="209" t="s">
        <v>2192</v>
      </c>
      <c r="D48" s="209" t="s">
        <v>1066</v>
      </c>
      <c r="E48" s="209" t="s">
        <v>647</v>
      </c>
      <c r="F48" s="283" t="s">
        <v>13177</v>
      </c>
      <c r="H48" s="209" t="s">
        <v>1528</v>
      </c>
      <c r="I48" s="209" t="s">
        <v>1529</v>
      </c>
      <c r="J48" s="231" t="str">
        <f t="shared" si="4"/>
        <v>GoldCCR Refinery - Glencore Canada Corporation</v>
      </c>
      <c r="K48" s="231" t="str">
        <f t="shared" si="5"/>
        <v>GoldCCR Refinery - Glencore Canada Corporation</v>
      </c>
    </row>
    <row r="49" spans="1:11">
      <c r="A49" s="209" t="s">
        <v>1098</v>
      </c>
      <c r="B49" s="209" t="s">
        <v>2245</v>
      </c>
      <c r="C49" s="209" t="s">
        <v>2445</v>
      </c>
      <c r="D49" s="209" t="s">
        <v>1067</v>
      </c>
      <c r="E49" s="209" t="s">
        <v>648</v>
      </c>
      <c r="F49" s="283" t="s">
        <v>13177</v>
      </c>
      <c r="H49" s="209" t="s">
        <v>1532</v>
      </c>
      <c r="I49" s="209" t="s">
        <v>1533</v>
      </c>
      <c r="J49" s="231" t="str">
        <f t="shared" si="4"/>
        <v>GoldCendres + M?taux SA</v>
      </c>
      <c r="K49" s="231" t="str">
        <f t="shared" si="5"/>
        <v>GoldCendres + M?taux SA</v>
      </c>
    </row>
    <row r="50" spans="1:11">
      <c r="A50" s="209" t="s">
        <v>1098</v>
      </c>
      <c r="B50" s="209" t="s">
        <v>2445</v>
      </c>
      <c r="C50" s="209" t="s">
        <v>2445</v>
      </c>
      <c r="D50" s="209" t="s">
        <v>1067</v>
      </c>
      <c r="E50" s="209" t="s">
        <v>648</v>
      </c>
      <c r="F50" s="283" t="s">
        <v>13177</v>
      </c>
      <c r="H50" s="209" t="s">
        <v>1532</v>
      </c>
      <c r="I50" s="209" t="s">
        <v>1533</v>
      </c>
      <c r="J50" s="231" t="str">
        <f t="shared" si="4"/>
        <v>GoldCendres + Metaux S.A.</v>
      </c>
      <c r="K50" s="231" t="str">
        <f t="shared" si="5"/>
        <v>GoldCendres + Metaux S.A.</v>
      </c>
    </row>
    <row r="51" spans="1:11">
      <c r="A51" s="209" t="s">
        <v>1098</v>
      </c>
      <c r="B51" s="209" t="s">
        <v>2246</v>
      </c>
      <c r="C51" s="209" t="s">
        <v>2445</v>
      </c>
      <c r="D51" s="209" t="s">
        <v>1067</v>
      </c>
      <c r="E51" s="209" t="s">
        <v>648</v>
      </c>
      <c r="F51" s="283" t="s">
        <v>13177</v>
      </c>
      <c r="H51" s="209" t="s">
        <v>1532</v>
      </c>
      <c r="I51" s="209" t="s">
        <v>1533</v>
      </c>
      <c r="J51" s="231" t="str">
        <f t="shared" si="4"/>
        <v>GoldCendres + Métaux S.A.</v>
      </c>
      <c r="K51" s="231" t="str">
        <f t="shared" si="5"/>
        <v>GoldCendres + Métaux S.A.</v>
      </c>
    </row>
    <row r="52" spans="1:11">
      <c r="A52" s="209" t="s">
        <v>1098</v>
      </c>
      <c r="B52" s="209" t="s">
        <v>1192</v>
      </c>
      <c r="C52" s="209" t="s">
        <v>875</v>
      </c>
      <c r="D52" s="209" t="s">
        <v>852</v>
      </c>
      <c r="E52" s="209" t="s">
        <v>642</v>
      </c>
      <c r="F52" s="283" t="s">
        <v>13177</v>
      </c>
      <c r="H52" s="209" t="s">
        <v>2154</v>
      </c>
      <c r="I52" s="209" t="s">
        <v>9394</v>
      </c>
      <c r="J52" s="231" t="str">
        <f t="shared" si="4"/>
        <v>GoldCentral Bank of the Philippines Gold Refinery &amp; Mint</v>
      </c>
      <c r="K52" s="231" t="str">
        <f t="shared" si="5"/>
        <v>GoldCentral Bank of the Philippines Gold Refinery &amp; Mint</v>
      </c>
    </row>
    <row r="53" spans="1:11">
      <c r="A53" s="209" t="s">
        <v>1098</v>
      </c>
      <c r="B53" s="209" t="s">
        <v>13696</v>
      </c>
      <c r="C53" s="209" t="s">
        <v>13696</v>
      </c>
      <c r="D53" s="209" t="s">
        <v>1075</v>
      </c>
      <c r="E53" s="209" t="s">
        <v>13697</v>
      </c>
      <c r="F53" s="283" t="s">
        <v>13177</v>
      </c>
      <c r="H53" s="209" t="s">
        <v>13742</v>
      </c>
      <c r="I53" t="s">
        <v>6134</v>
      </c>
      <c r="J53" s="231" t="str">
        <f t="shared" si="4"/>
        <v>GoldCGR Metalloys Pvt Ltd.</v>
      </c>
      <c r="K53" s="231" t="str">
        <f t="shared" si="5"/>
        <v>GoldCGR Metalloys Pvt Ltd.</v>
      </c>
    </row>
    <row r="54" spans="1:11">
      <c r="A54" s="209" t="s">
        <v>1098</v>
      </c>
      <c r="B54" s="209" t="s">
        <v>1535</v>
      </c>
      <c r="C54" s="209" t="s">
        <v>2097</v>
      </c>
      <c r="D54" s="209" t="s">
        <v>1069</v>
      </c>
      <c r="E54" s="209" t="s">
        <v>725</v>
      </c>
      <c r="F54" s="283" t="s">
        <v>13177</v>
      </c>
      <c r="H54" s="209" t="s">
        <v>1534</v>
      </c>
      <c r="I54" t="s">
        <v>13540</v>
      </c>
      <c r="J54" s="231" t="str">
        <f t="shared" si="4"/>
        <v>GoldCHALCO Yunnan Copper Co. Ltd.</v>
      </c>
      <c r="K54" s="231" t="str">
        <f t="shared" si="5"/>
        <v>GoldCHALCO Yunnan Copper Co. Ltd.</v>
      </c>
    </row>
    <row r="55" spans="1:11">
      <c r="A55" s="209" t="s">
        <v>1098</v>
      </c>
      <c r="B55" s="209" t="s">
        <v>14917</v>
      </c>
      <c r="C55" s="209" t="s">
        <v>13696</v>
      </c>
      <c r="D55" s="209" t="s">
        <v>1075</v>
      </c>
      <c r="E55" s="209" t="s">
        <v>13697</v>
      </c>
      <c r="F55" s="283" t="s">
        <v>13177</v>
      </c>
      <c r="H55" s="209" t="s">
        <v>13742</v>
      </c>
      <c r="I55" s="209" t="s">
        <v>6134</v>
      </c>
      <c r="J55" s="231" t="str">
        <f t="shared" si="4"/>
        <v>GoldChemmanur Gold Refinery</v>
      </c>
      <c r="K55" s="231" t="str">
        <f t="shared" si="5"/>
        <v>GoldChemmanur Gold Refinery</v>
      </c>
    </row>
    <row r="56" spans="1:11">
      <c r="A56" s="209" t="s">
        <v>1098</v>
      </c>
      <c r="B56" s="209" t="s">
        <v>50</v>
      </c>
      <c r="C56" s="209" t="s">
        <v>50</v>
      </c>
      <c r="D56" s="209" t="s">
        <v>1076</v>
      </c>
      <c r="E56" s="209" t="s">
        <v>649</v>
      </c>
      <c r="F56" s="283" t="s">
        <v>13177</v>
      </c>
      <c r="H56" s="209" t="s">
        <v>1536</v>
      </c>
      <c r="I56" s="209" t="s">
        <v>6417</v>
      </c>
      <c r="J56" s="231" t="str">
        <f t="shared" si="4"/>
        <v>GoldChimet S.p.A.</v>
      </c>
      <c r="K56" s="231" t="str">
        <f t="shared" si="5"/>
        <v>GoldChimet S.p.A.</v>
      </c>
    </row>
    <row r="57" spans="1:11">
      <c r="A57" s="209" t="s">
        <v>1098</v>
      </c>
      <c r="B57" s="209" t="s">
        <v>13746</v>
      </c>
      <c r="C57" s="209" t="s">
        <v>1291</v>
      </c>
      <c r="D57" s="209" t="s">
        <v>1069</v>
      </c>
      <c r="E57" s="209" t="s">
        <v>726</v>
      </c>
      <c r="F57" s="283" t="s">
        <v>13177</v>
      </c>
      <c r="H57" s="209" t="s">
        <v>1652</v>
      </c>
      <c r="I57" s="209" t="s">
        <v>13533</v>
      </c>
      <c r="J57" s="231" t="str">
        <f t="shared" si="4"/>
        <v>GoldChina Henan Zhongyuan Gold Smelter</v>
      </c>
      <c r="K57" s="231" t="str">
        <f t="shared" si="5"/>
        <v>GoldChina Henan Zhongyuan Gold Smelter</v>
      </c>
    </row>
    <row r="58" spans="1:11">
      <c r="A58" s="209" t="s">
        <v>1098</v>
      </c>
      <c r="B58" s="209" t="s">
        <v>20</v>
      </c>
      <c r="C58" s="209" t="s">
        <v>14918</v>
      </c>
      <c r="D58" s="209" t="s">
        <v>1069</v>
      </c>
      <c r="E58" s="209" t="s">
        <v>715</v>
      </c>
      <c r="F58" s="283" t="s">
        <v>13177</v>
      </c>
      <c r="H58" s="209" t="s">
        <v>1621</v>
      </c>
      <c r="I58" s="209" t="s">
        <v>13532</v>
      </c>
      <c r="J58" s="231" t="str">
        <f t="shared" si="4"/>
        <v>GoldChina's Shandong Gold Mining Co., Ltd</v>
      </c>
      <c r="K58" s="231" t="str">
        <f t="shared" si="5"/>
        <v>GoldChina's Shandong Gold Mining Co., Ltd</v>
      </c>
    </row>
    <row r="59" spans="1:11">
      <c r="A59" s="209" t="s">
        <v>1098</v>
      </c>
      <c r="B59" s="209" t="s">
        <v>524</v>
      </c>
      <c r="C59" s="209" t="s">
        <v>524</v>
      </c>
      <c r="D59" s="209" t="s">
        <v>1077</v>
      </c>
      <c r="E59" s="209" t="s">
        <v>650</v>
      </c>
      <c r="F59" s="283" t="s">
        <v>13177</v>
      </c>
      <c r="H59" s="209" t="s">
        <v>1537</v>
      </c>
      <c r="I59" s="209" t="s">
        <v>1509</v>
      </c>
      <c r="J59" s="231" t="str">
        <f t="shared" si="4"/>
        <v>GoldChugai Mining</v>
      </c>
      <c r="K59" s="231" t="str">
        <f t="shared" si="5"/>
        <v>GoldChugai Mining</v>
      </c>
    </row>
    <row r="60" spans="1:11">
      <c r="A60" s="209" t="s">
        <v>1098</v>
      </c>
      <c r="B60" s="209" t="s">
        <v>15332</v>
      </c>
      <c r="C60" s="209" t="s">
        <v>15332</v>
      </c>
      <c r="D60" s="209" t="s">
        <v>1065</v>
      </c>
      <c r="E60" s="209" t="s">
        <v>15333</v>
      </c>
      <c r="F60" s="283" t="s">
        <v>13177</v>
      </c>
      <c r="H60" s="209" t="s">
        <v>15368</v>
      </c>
      <c r="I60" s="209" t="s">
        <v>1687</v>
      </c>
      <c r="J60" s="231" t="str">
        <f t="shared" si="4"/>
        <v>GoldCoimpa Industrial LTDA</v>
      </c>
      <c r="K60" s="231" t="str">
        <f t="shared" si="5"/>
        <v>GoldCoimpa Industrial LTDA</v>
      </c>
    </row>
    <row r="61" spans="1:11">
      <c r="A61" s="209" t="s">
        <v>1098</v>
      </c>
      <c r="B61" s="209" t="s">
        <v>651</v>
      </c>
      <c r="C61" s="209" t="s">
        <v>651</v>
      </c>
      <c r="D61" s="209" t="s">
        <v>1069</v>
      </c>
      <c r="E61" s="209" t="s">
        <v>652</v>
      </c>
      <c r="F61" s="283" t="s">
        <v>13177</v>
      </c>
      <c r="H61" s="209" t="s">
        <v>1539</v>
      </c>
      <c r="I61" s="209" t="s">
        <v>13534</v>
      </c>
      <c r="J61" s="231" t="str">
        <f t="shared" si="4"/>
        <v>GoldDaye Non-Ferrous Metals Mining Ltd.</v>
      </c>
      <c r="K61" s="231" t="str">
        <f t="shared" si="5"/>
        <v>GoldDaye Non-Ferrous Metals Mining Ltd.</v>
      </c>
    </row>
    <row r="62" spans="1:11">
      <c r="A62" s="209" t="s">
        <v>1098</v>
      </c>
      <c r="B62" s="209" t="s">
        <v>2446</v>
      </c>
      <c r="C62" s="209" t="s">
        <v>2388</v>
      </c>
      <c r="D62" s="209" t="s">
        <v>1070</v>
      </c>
      <c r="E62" s="209" t="s">
        <v>2389</v>
      </c>
      <c r="F62" s="283" t="s">
        <v>13177</v>
      </c>
      <c r="H62" s="209" t="s">
        <v>1510</v>
      </c>
      <c r="I62" s="209" t="s">
        <v>1511</v>
      </c>
      <c r="J62" s="231" t="str">
        <f t="shared" si="4"/>
        <v>GoldDEGUSSA</v>
      </c>
      <c r="K62" s="231" t="str">
        <f t="shared" si="5"/>
        <v>GoldDEGUSSA</v>
      </c>
    </row>
    <row r="63" spans="1:11">
      <c r="A63" s="209" t="s">
        <v>1098</v>
      </c>
      <c r="B63" s="209" t="s">
        <v>2388</v>
      </c>
      <c r="C63" s="209" t="s">
        <v>2388</v>
      </c>
      <c r="D63" s="209" t="s">
        <v>1070</v>
      </c>
      <c r="E63" s="209" t="s">
        <v>2389</v>
      </c>
      <c r="F63" s="283" t="s">
        <v>13177</v>
      </c>
      <c r="H63" s="209" t="s">
        <v>1510</v>
      </c>
      <c r="I63" s="209" t="s">
        <v>1511</v>
      </c>
      <c r="J63" s="231" t="str">
        <f t="shared" si="4"/>
        <v>GoldDegussa Sonne / Mond Goldhandel GmbH</v>
      </c>
      <c r="K63" s="231" t="str">
        <f t="shared" si="5"/>
        <v>GoldDegussa Sonne / Mond Goldhandel GmbH</v>
      </c>
    </row>
    <row r="64" spans="1:11">
      <c r="A64" s="209" t="s">
        <v>1098</v>
      </c>
      <c r="B64" s="209" t="s">
        <v>13698</v>
      </c>
      <c r="C64" s="209" t="s">
        <v>13698</v>
      </c>
      <c r="D64" s="209" t="s">
        <v>1061</v>
      </c>
      <c r="E64" s="209" t="s">
        <v>13699</v>
      </c>
      <c r="F64" s="283" t="s">
        <v>13177</v>
      </c>
      <c r="H64" s="209" t="s">
        <v>13734</v>
      </c>
      <c r="I64" s="209" t="s">
        <v>2520</v>
      </c>
      <c r="J64" s="231" t="str">
        <f t="shared" si="4"/>
        <v>GoldDijllah Gold Refinery FZC</v>
      </c>
      <c r="K64" s="231" t="str">
        <f t="shared" si="5"/>
        <v>GoldDijllah Gold Refinery FZC</v>
      </c>
    </row>
    <row r="65" spans="1:11">
      <c r="A65" s="209" t="s">
        <v>1098</v>
      </c>
      <c r="B65" s="209" t="s">
        <v>594</v>
      </c>
      <c r="C65" s="209" t="s">
        <v>2208</v>
      </c>
      <c r="D65" s="209" t="s">
        <v>1080</v>
      </c>
      <c r="E65" s="209" t="s">
        <v>653</v>
      </c>
      <c r="F65" s="283" t="s">
        <v>13177</v>
      </c>
      <c r="H65" s="209" t="s">
        <v>1540</v>
      </c>
      <c r="I65" s="209" t="s">
        <v>12818</v>
      </c>
      <c r="J65" s="231" t="str">
        <f t="shared" si="4"/>
        <v>GoldDo Sung Corporation</v>
      </c>
      <c r="K65" s="231" t="str">
        <f t="shared" si="5"/>
        <v>GoldDo Sung Corporation</v>
      </c>
    </row>
    <row r="66" spans="1:11">
      <c r="A66" s="209" t="s">
        <v>1098</v>
      </c>
      <c r="B66" s="209" t="s">
        <v>15281</v>
      </c>
      <c r="C66" s="209" t="s">
        <v>15281</v>
      </c>
      <c r="D66" s="209" t="s">
        <v>1069</v>
      </c>
      <c r="E66" s="209" t="s">
        <v>15282</v>
      </c>
      <c r="F66" s="283" t="s">
        <v>13177</v>
      </c>
      <c r="H66" s="209" t="s">
        <v>15283</v>
      </c>
      <c r="I66" s="209" t="s">
        <v>13544</v>
      </c>
      <c r="J66" s="231" t="str">
        <f t="shared" si="4"/>
        <v>GoldDongwu Gold Group</v>
      </c>
      <c r="K66" s="231" t="str">
        <f t="shared" si="5"/>
        <v>GoldDongwu Gold Group</v>
      </c>
    </row>
    <row r="67" spans="1:11">
      <c r="A67" s="209" t="s">
        <v>1098</v>
      </c>
      <c r="B67" s="209" t="s">
        <v>36</v>
      </c>
      <c r="C67" s="209" t="s">
        <v>2208</v>
      </c>
      <c r="D67" s="209" t="s">
        <v>1080</v>
      </c>
      <c r="E67" s="209" t="s">
        <v>653</v>
      </c>
      <c r="F67" s="283" t="s">
        <v>13177</v>
      </c>
      <c r="H67" s="209" t="s">
        <v>1540</v>
      </c>
      <c r="I67" s="209" t="s">
        <v>12818</v>
      </c>
      <c r="J67" s="231" t="str">
        <f t="shared" si="4"/>
        <v>GoldDosung metal</v>
      </c>
      <c r="K67" s="231" t="str">
        <f t="shared" si="5"/>
        <v>GoldDosung metal</v>
      </c>
    </row>
    <row r="68" spans="1:11">
      <c r="A68" s="209" t="s">
        <v>1098</v>
      </c>
      <c r="B68" s="209" t="s">
        <v>877</v>
      </c>
      <c r="C68" s="209" t="s">
        <v>877</v>
      </c>
      <c r="D68" s="209" t="s">
        <v>1077</v>
      </c>
      <c r="E68" s="209" t="s">
        <v>654</v>
      </c>
      <c r="F68" s="283" t="s">
        <v>13177</v>
      </c>
      <c r="H68" s="209" t="s">
        <v>1541</v>
      </c>
      <c r="I68" s="209" t="s">
        <v>1542</v>
      </c>
      <c r="J68" s="231" t="str">
        <f t="shared" si="4"/>
        <v>GoldDowa</v>
      </c>
      <c r="K68" s="231" t="str">
        <f t="shared" si="5"/>
        <v>GoldDowa</v>
      </c>
    </row>
    <row r="69" spans="1:11">
      <c r="A69" s="209" t="s">
        <v>1098</v>
      </c>
      <c r="B69" s="209" t="s">
        <v>1543</v>
      </c>
      <c r="C69" s="209" t="s">
        <v>877</v>
      </c>
      <c r="D69" s="209" t="s">
        <v>1077</v>
      </c>
      <c r="E69" s="209" t="s">
        <v>654</v>
      </c>
      <c r="F69" s="283" t="s">
        <v>13177</v>
      </c>
      <c r="H69" s="209" t="s">
        <v>1541</v>
      </c>
      <c r="I69" s="209" t="s">
        <v>1542</v>
      </c>
      <c r="J69" s="231" t="str">
        <f t="shared" si="4"/>
        <v>GoldDowa Kogyo k.k.</v>
      </c>
      <c r="K69" s="231" t="str">
        <f t="shared" si="5"/>
        <v>GoldDowa Kogyo k.k.</v>
      </c>
    </row>
    <row r="70" spans="1:11">
      <c r="A70" s="209" t="s">
        <v>1098</v>
      </c>
      <c r="B70" s="209" t="s">
        <v>1544</v>
      </c>
      <c r="C70" s="209" t="s">
        <v>877</v>
      </c>
      <c r="D70" s="209" t="s">
        <v>1077</v>
      </c>
      <c r="E70" s="209" t="s">
        <v>654</v>
      </c>
      <c r="F70" s="283" t="s">
        <v>13177</v>
      </c>
      <c r="H70" s="209" t="s">
        <v>1541</v>
      </c>
      <c r="I70" s="209" t="s">
        <v>1542</v>
      </c>
      <c r="J70" s="231" t="str">
        <f t="shared" si="4"/>
        <v>GoldDowa Metalmine Co. Ltd</v>
      </c>
      <c r="K70" s="231" t="str">
        <f t="shared" si="5"/>
        <v>GoldDowa Metalmine Co. Ltd</v>
      </c>
    </row>
    <row r="71" spans="1:11">
      <c r="A71" s="209" t="s">
        <v>1098</v>
      </c>
      <c r="B71" s="209" t="s">
        <v>1545</v>
      </c>
      <c r="C71" s="209" t="s">
        <v>877</v>
      </c>
      <c r="D71" s="209" t="s">
        <v>1077</v>
      </c>
      <c r="E71" s="209" t="s">
        <v>654</v>
      </c>
      <c r="F71" s="283" t="s">
        <v>13177</v>
      </c>
      <c r="H71" s="209" t="s">
        <v>1541</v>
      </c>
      <c r="I71" s="209" t="s">
        <v>1542</v>
      </c>
      <c r="J71" s="231" t="str">
        <f t="shared" si="4"/>
        <v>GoldDowa Metals &amp; Mining Co. Ltd</v>
      </c>
      <c r="K71" s="231" t="str">
        <f t="shared" si="5"/>
        <v>GoldDowa Metals &amp; Mining Co. Ltd</v>
      </c>
    </row>
    <row r="72" spans="1:11">
      <c r="A72" s="209" t="s">
        <v>1098</v>
      </c>
      <c r="B72" s="209" t="s">
        <v>2208</v>
      </c>
      <c r="C72" s="209" t="s">
        <v>2208</v>
      </c>
      <c r="D72" s="209" t="s">
        <v>1080</v>
      </c>
      <c r="E72" s="209" t="s">
        <v>653</v>
      </c>
      <c r="F72" s="283" t="s">
        <v>13177</v>
      </c>
      <c r="H72" s="209" t="s">
        <v>1540</v>
      </c>
      <c r="I72" s="209" t="s">
        <v>12818</v>
      </c>
      <c r="J72" s="231" t="str">
        <f t="shared" si="4"/>
        <v>GoldDSC (Do Sung Corporation)</v>
      </c>
      <c r="K72" s="231" t="str">
        <f t="shared" si="5"/>
        <v>GoldDSC (Do Sung Corporation)</v>
      </c>
    </row>
    <row r="73" spans="1:11">
      <c r="A73" s="209" t="s">
        <v>1098</v>
      </c>
      <c r="B73" s="209" t="s">
        <v>13747</v>
      </c>
      <c r="C73" s="209" t="s">
        <v>13747</v>
      </c>
      <c r="D73" s="209" t="s">
        <v>1077</v>
      </c>
      <c r="E73" s="209" t="s">
        <v>384</v>
      </c>
      <c r="F73" s="283" t="s">
        <v>13177</v>
      </c>
      <c r="H73" s="209" t="s">
        <v>1546</v>
      </c>
      <c r="I73" s="209" t="s">
        <v>1547</v>
      </c>
      <c r="J73" s="231" t="str">
        <f t="shared" si="4"/>
        <v>GoldEco-System Recycling Co., Ltd. East Plant</v>
      </c>
      <c r="K73" s="231" t="str">
        <f t="shared" si="5"/>
        <v>GoldEco-System Recycling Co., Ltd. East Plant</v>
      </c>
    </row>
    <row r="74" spans="1:11">
      <c r="A74" s="209" t="s">
        <v>1098</v>
      </c>
      <c r="B74" s="209" t="s">
        <v>13748</v>
      </c>
      <c r="C74" s="209" t="s">
        <v>13748</v>
      </c>
      <c r="D74" s="209" t="s">
        <v>1077</v>
      </c>
      <c r="E74" s="209" t="s">
        <v>13768</v>
      </c>
      <c r="F74" s="283" t="s">
        <v>13177</v>
      </c>
      <c r="H74" s="209" t="s">
        <v>13782</v>
      </c>
      <c r="I74" s="209" t="s">
        <v>1542</v>
      </c>
      <c r="J74" s="231" t="str">
        <f t="shared" si="4"/>
        <v>GoldEco-System Recycling Co., Ltd. North Plant</v>
      </c>
      <c r="K74" s="231" t="str">
        <f t="shared" si="5"/>
        <v>GoldEco-System Recycling Co., Ltd. North Plant</v>
      </c>
    </row>
    <row r="75" spans="1:11">
      <c r="A75" s="209" t="s">
        <v>1098</v>
      </c>
      <c r="B75" s="209" t="s">
        <v>13749</v>
      </c>
      <c r="C75" s="209" t="s">
        <v>13749</v>
      </c>
      <c r="D75" s="209" t="s">
        <v>1077</v>
      </c>
      <c r="E75" s="209" t="s">
        <v>13769</v>
      </c>
      <c r="F75" s="283" t="s">
        <v>13177</v>
      </c>
      <c r="H75" s="209" t="s">
        <v>6634</v>
      </c>
      <c r="I75" s="209" t="s">
        <v>6634</v>
      </c>
      <c r="J75" s="231" t="str">
        <f t="shared" si="4"/>
        <v>GoldEco-System Recycling Co., Ltd. West Plant</v>
      </c>
      <c r="K75" s="231" t="str">
        <f t="shared" si="5"/>
        <v>GoldEco-System Recycling Co., Ltd. West Plant</v>
      </c>
    </row>
    <row r="76" spans="1:11">
      <c r="A76" s="209" t="s">
        <v>1098</v>
      </c>
      <c r="B76" s="209" t="s">
        <v>13750</v>
      </c>
      <c r="C76" s="209" t="s">
        <v>880</v>
      </c>
      <c r="D76" s="209" t="s">
        <v>854</v>
      </c>
      <c r="E76" s="209" t="s">
        <v>671</v>
      </c>
      <c r="F76" s="283" t="s">
        <v>13177</v>
      </c>
      <c r="H76" s="209" t="s">
        <v>1570</v>
      </c>
      <c r="I76" s="209" t="s">
        <v>9890</v>
      </c>
      <c r="J76" s="231" t="str">
        <f t="shared" si="4"/>
        <v>GoldEkaterinburg</v>
      </c>
      <c r="K76" s="231" t="str">
        <f t="shared" si="5"/>
        <v>GoldEkaterinburg</v>
      </c>
    </row>
    <row r="77" spans="1:11">
      <c r="A77" s="209" t="s">
        <v>1098</v>
      </c>
      <c r="B77" s="209" t="s">
        <v>15598</v>
      </c>
      <c r="C77" s="209" t="s">
        <v>15598</v>
      </c>
      <c r="D77" s="209" t="s">
        <v>2383</v>
      </c>
      <c r="E77" s="209" t="s">
        <v>15599</v>
      </c>
      <c r="F77" s="283" t="s">
        <v>13177</v>
      </c>
      <c r="H77" s="209" t="s">
        <v>15600</v>
      </c>
      <c r="I77" s="209" t="s">
        <v>11441</v>
      </c>
      <c r="J77" s="231" t="str">
        <f t="shared" si="4"/>
        <v>GoldElite Industech Co., Ltd.</v>
      </c>
      <c r="K77" s="231" t="str">
        <f t="shared" si="5"/>
        <v>GoldElite Industech Co., Ltd.</v>
      </c>
    </row>
    <row r="78" spans="1:11">
      <c r="A78" s="209" t="s">
        <v>1098</v>
      </c>
      <c r="B78" s="209" t="s">
        <v>14919</v>
      </c>
      <c r="C78" s="209" t="s">
        <v>14919</v>
      </c>
      <c r="D78" s="209" t="s">
        <v>1075</v>
      </c>
      <c r="E78" s="209" t="s">
        <v>14920</v>
      </c>
      <c r="F78" s="283" t="s">
        <v>13177</v>
      </c>
      <c r="H78" s="209" t="s">
        <v>14979</v>
      </c>
      <c r="I78" s="209" t="s">
        <v>15389</v>
      </c>
      <c r="J78" s="231" t="str">
        <f t="shared" si="4"/>
        <v>GoldEmerald Jewel Industry India Limited (Unit 1)</v>
      </c>
      <c r="K78" s="231" t="str">
        <f t="shared" si="5"/>
        <v>GoldEmerald Jewel Industry India Limited (Unit 1)</v>
      </c>
    </row>
    <row r="79" spans="1:11">
      <c r="A79" s="209" t="s">
        <v>1098</v>
      </c>
      <c r="B79" s="209" t="s">
        <v>14921</v>
      </c>
      <c r="C79" s="209" t="s">
        <v>14921</v>
      </c>
      <c r="D79" s="209" t="s">
        <v>1075</v>
      </c>
      <c r="E79" s="209" t="s">
        <v>14922</v>
      </c>
      <c r="F79" s="283" t="s">
        <v>13177</v>
      </c>
      <c r="H79" s="209" t="s">
        <v>14979</v>
      </c>
      <c r="I79" t="s">
        <v>15389</v>
      </c>
      <c r="J79" s="231" t="str">
        <f t="shared" si="4"/>
        <v>GoldEmerald Jewel Industry India Limited (Unit 2)</v>
      </c>
      <c r="K79" s="231" t="str">
        <f t="shared" si="5"/>
        <v>GoldEmerald Jewel Industry India Limited (Unit 2)</v>
      </c>
    </row>
    <row r="80" spans="1:11">
      <c r="A80" s="209" t="s">
        <v>1098</v>
      </c>
      <c r="B80" s="209" t="s">
        <v>14923</v>
      </c>
      <c r="C80" s="209" t="s">
        <v>14923</v>
      </c>
      <c r="D80" s="209" t="s">
        <v>1075</v>
      </c>
      <c r="E80" s="209" t="s">
        <v>14924</v>
      </c>
      <c r="F80" s="283" t="s">
        <v>13177</v>
      </c>
      <c r="H80" s="209" t="s">
        <v>14979</v>
      </c>
      <c r="I80" s="209" t="s">
        <v>15389</v>
      </c>
      <c r="J80" s="231" t="str">
        <f t="shared" si="4"/>
        <v>GoldEmerald Jewel Industry India Limited (Unit 3)</v>
      </c>
      <c r="K80" s="231" t="str">
        <f t="shared" si="5"/>
        <v>GoldEmerald Jewel Industry India Limited (Unit 3)</v>
      </c>
    </row>
    <row r="81" spans="1:11">
      <c r="A81" s="209" t="s">
        <v>1098</v>
      </c>
      <c r="B81" s="209" t="s">
        <v>14925</v>
      </c>
      <c r="C81" s="209" t="s">
        <v>14925</v>
      </c>
      <c r="D81" s="209" t="s">
        <v>1075</v>
      </c>
      <c r="E81" s="209" t="s">
        <v>14926</v>
      </c>
      <c r="F81" s="283" t="s">
        <v>13177</v>
      </c>
      <c r="H81" s="209" t="s">
        <v>14979</v>
      </c>
      <c r="I81" s="209" t="s">
        <v>15389</v>
      </c>
      <c r="J81" s="231" t="str">
        <f t="shared" si="4"/>
        <v>GoldEmerald Jewel Industry India Limited (Unit 4)</v>
      </c>
      <c r="K81" s="231" t="str">
        <f t="shared" si="5"/>
        <v>GoldEmerald Jewel Industry India Limited (Unit 4)</v>
      </c>
    </row>
    <row r="82" spans="1:11">
      <c r="A82" s="209" t="s">
        <v>1098</v>
      </c>
      <c r="B82" s="209" t="s">
        <v>1669</v>
      </c>
      <c r="C82" s="209" t="s">
        <v>1669</v>
      </c>
      <c r="D82" s="209" t="s">
        <v>1061</v>
      </c>
      <c r="E82" s="209" t="s">
        <v>1670</v>
      </c>
      <c r="F82" s="283" t="s">
        <v>13177</v>
      </c>
      <c r="H82" s="209" t="s">
        <v>1668</v>
      </c>
      <c r="I82" s="209" t="s">
        <v>2524</v>
      </c>
      <c r="J82" s="231" t="str">
        <f t="shared" si="4"/>
        <v>GoldEmirates Gold DMCC</v>
      </c>
      <c r="K82" s="231" t="str">
        <f t="shared" si="5"/>
        <v>GoldEmirates Gold DMCC</v>
      </c>
    </row>
    <row r="83" spans="1:11">
      <c r="A83" s="209" t="s">
        <v>1098</v>
      </c>
      <c r="B83" s="209" t="s">
        <v>2447</v>
      </c>
      <c r="C83" s="209" t="s">
        <v>882</v>
      </c>
      <c r="D83" s="209" t="s">
        <v>854</v>
      </c>
      <c r="E83" s="209" t="s">
        <v>693</v>
      </c>
      <c r="F83" s="283"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1098</v>
      </c>
      <c r="B84" s="209" t="s">
        <v>1351</v>
      </c>
      <c r="C84" s="209" t="s">
        <v>1351</v>
      </c>
      <c r="D84" s="209" t="s">
        <v>866</v>
      </c>
      <c r="E84" s="209" t="s">
        <v>1352</v>
      </c>
      <c r="F84" s="283" t="s">
        <v>13177</v>
      </c>
      <c r="H84" s="209" t="s">
        <v>1662</v>
      </c>
      <c r="I84" s="209" t="s">
        <v>1663</v>
      </c>
      <c r="J84" s="231" t="str">
        <f t="shared" si="6"/>
        <v>GoldFidelity Printers and Refiners Ltd.</v>
      </c>
      <c r="K84" s="231" t="str">
        <f t="shared" si="7"/>
        <v>GoldFidelity Printers and Refiners Ltd.</v>
      </c>
    </row>
    <row r="85" spans="1:11">
      <c r="A85" s="209" t="s">
        <v>1098</v>
      </c>
      <c r="B85" s="209" t="s">
        <v>878</v>
      </c>
      <c r="C85" s="209" t="s">
        <v>14927</v>
      </c>
      <c r="D85" s="209" t="s">
        <v>854</v>
      </c>
      <c r="E85" s="209" t="s">
        <v>655</v>
      </c>
      <c r="F85" s="283" t="s">
        <v>13177</v>
      </c>
      <c r="H85" s="209" t="s">
        <v>1548</v>
      </c>
      <c r="I85" s="209" t="s">
        <v>9952</v>
      </c>
      <c r="J85" s="231" t="str">
        <f t="shared" si="6"/>
        <v>GoldFSE Novosibirsk Refinery</v>
      </c>
      <c r="K85" s="231" t="str">
        <f t="shared" si="7"/>
        <v>GoldFSE Novosibirsk Refinery</v>
      </c>
    </row>
    <row r="86" spans="1:11">
      <c r="A86" s="209" t="s">
        <v>1098</v>
      </c>
      <c r="B86" s="209" t="s">
        <v>13700</v>
      </c>
      <c r="C86" s="209" t="s">
        <v>13700</v>
      </c>
      <c r="D86" s="209" t="s">
        <v>1061</v>
      </c>
      <c r="E86" s="209" t="s">
        <v>13701</v>
      </c>
      <c r="F86" s="283" t="s">
        <v>13177</v>
      </c>
      <c r="H86" s="209" t="s">
        <v>13735</v>
      </c>
      <c r="I86" s="209" t="s">
        <v>2522</v>
      </c>
      <c r="J86" s="231" t="str">
        <f t="shared" si="6"/>
        <v>GoldFujairah Gold FZC</v>
      </c>
      <c r="K86" s="231" t="str">
        <f t="shared" si="7"/>
        <v>GoldFujairah Gold FZC</v>
      </c>
    </row>
    <row r="87" spans="1:11">
      <c r="A87" s="209" t="s">
        <v>1098</v>
      </c>
      <c r="B87" s="209" t="s">
        <v>15284</v>
      </c>
      <c r="C87" s="209" t="s">
        <v>13700</v>
      </c>
      <c r="D87" s="209" t="s">
        <v>1061</v>
      </c>
      <c r="E87" s="209" t="s">
        <v>13701</v>
      </c>
      <c r="F87" s="283" t="s">
        <v>13177</v>
      </c>
      <c r="H87" s="209" t="s">
        <v>13735</v>
      </c>
      <c r="I87" s="209" t="s">
        <v>2522</v>
      </c>
      <c r="J87" s="231" t="str">
        <f t="shared" si="6"/>
        <v>GoldFujhara Refinery</v>
      </c>
      <c r="K87" s="231" t="str">
        <f t="shared" si="7"/>
        <v>GoldFujhara Refinery</v>
      </c>
    </row>
    <row r="88" spans="1:11">
      <c r="A88" s="209" t="s">
        <v>1098</v>
      </c>
      <c r="B88" s="209" t="s">
        <v>21</v>
      </c>
      <c r="C88" s="209" t="s">
        <v>2448</v>
      </c>
      <c r="D88" s="209" t="s">
        <v>1069</v>
      </c>
      <c r="E88" s="209" t="s">
        <v>727</v>
      </c>
      <c r="F88" s="283" t="s">
        <v>13177</v>
      </c>
      <c r="H88" s="209" t="s">
        <v>1655</v>
      </c>
      <c r="I88" s="209" t="s">
        <v>13530</v>
      </c>
      <c r="J88" s="231" t="str">
        <f t="shared" si="6"/>
        <v>GoldFujian Zijin mining stock company gold smelter</v>
      </c>
      <c r="K88" s="231" t="str">
        <f t="shared" si="7"/>
        <v>GoldFujian Zijin mining stock company gold smelter</v>
      </c>
    </row>
    <row r="89" spans="1:11">
      <c r="A89" s="209" t="s">
        <v>1098</v>
      </c>
      <c r="B89" s="209" t="s">
        <v>15671</v>
      </c>
      <c r="C89" s="209" t="s">
        <v>15671</v>
      </c>
      <c r="D89" s="209" t="s">
        <v>13050</v>
      </c>
      <c r="E89" s="209" t="s">
        <v>15672</v>
      </c>
      <c r="F89" s="283" t="s">
        <v>13177</v>
      </c>
      <c r="H89" s="209" t="s">
        <v>13785</v>
      </c>
      <c r="I89" s="209" t="s">
        <v>10012</v>
      </c>
      <c r="J89" s="231" t="str">
        <f t="shared" si="6"/>
        <v>GoldGasabo Gold Refinery Ltd</v>
      </c>
      <c r="K89" s="231" t="str">
        <f t="shared" si="7"/>
        <v>GoldGasabo Gold Refinery Ltd</v>
      </c>
    </row>
    <row r="90" spans="1:11">
      <c r="A90" s="209" t="s">
        <v>1098</v>
      </c>
      <c r="B90" s="209" t="s">
        <v>15601</v>
      </c>
      <c r="C90" s="209" t="s">
        <v>15601</v>
      </c>
      <c r="D90" s="209" t="s">
        <v>13079</v>
      </c>
      <c r="E90" s="209" t="s">
        <v>15602</v>
      </c>
      <c r="F90" s="283" t="s">
        <v>13177</v>
      </c>
      <c r="H90" s="209" t="s">
        <v>15603</v>
      </c>
      <c r="I90" s="209" t="s">
        <v>11491</v>
      </c>
      <c r="J90" s="231" t="str">
        <f t="shared" si="6"/>
        <v>GoldGG Refinery Ltd.</v>
      </c>
      <c r="K90" s="231" t="str">
        <f t="shared" si="7"/>
        <v>GoldGG Refinery Ltd.</v>
      </c>
    </row>
    <row r="91" spans="1:11">
      <c r="A91" s="209" t="s">
        <v>1098</v>
      </c>
      <c r="B91" s="209" t="s">
        <v>15285</v>
      </c>
      <c r="C91" s="209" t="s">
        <v>15285</v>
      </c>
      <c r="D91" s="209" t="s">
        <v>1075</v>
      </c>
      <c r="E91" s="209" t="s">
        <v>2248</v>
      </c>
      <c r="F91" s="283" t="s">
        <v>13177</v>
      </c>
      <c r="H91" s="209" t="s">
        <v>2249</v>
      </c>
      <c r="I91" s="209" t="s">
        <v>15380</v>
      </c>
      <c r="J91" s="231" t="str">
        <f t="shared" si="6"/>
        <v>GoldGGC Gujrat Gold Centre Pvt. Ltd.</v>
      </c>
      <c r="K91" s="231" t="str">
        <f t="shared" si="7"/>
        <v>GoldGGC Gujrat Gold Centre Pvt. Ltd.</v>
      </c>
    </row>
    <row r="92" spans="1:11">
      <c r="A92" s="209" t="s">
        <v>1098</v>
      </c>
      <c r="B92" s="209" t="s">
        <v>15286</v>
      </c>
      <c r="C92" s="209" t="s">
        <v>15286</v>
      </c>
      <c r="D92" s="209" t="s">
        <v>12931</v>
      </c>
      <c r="E92" s="209" t="s">
        <v>15287</v>
      </c>
      <c r="F92" s="283" t="s">
        <v>13177</v>
      </c>
      <c r="H92" s="209" t="s">
        <v>15288</v>
      </c>
      <c r="I92" s="209" t="s">
        <v>3908</v>
      </c>
      <c r="J92" s="231" t="str">
        <f t="shared" si="6"/>
        <v>GoldGold by Gold Colombia</v>
      </c>
      <c r="K92" s="231" t="str">
        <f t="shared" si="7"/>
        <v>GoldGold by Gold Colombia</v>
      </c>
    </row>
    <row r="93" spans="1:11">
      <c r="A93" s="209" t="s">
        <v>1098</v>
      </c>
      <c r="B93" s="209" t="s">
        <v>13751</v>
      </c>
      <c r="C93" s="209" t="s">
        <v>13751</v>
      </c>
      <c r="D93" s="209" t="s">
        <v>12958</v>
      </c>
      <c r="E93" s="209" t="s">
        <v>13770</v>
      </c>
      <c r="F93" s="283" t="s">
        <v>13177</v>
      </c>
      <c r="H93" s="209" t="s">
        <v>13934</v>
      </c>
      <c r="I93" s="209" t="s">
        <v>5519</v>
      </c>
      <c r="J93" s="231" t="str">
        <f t="shared" si="6"/>
        <v>GoldGold Coast Refinery</v>
      </c>
      <c r="K93" s="231" t="str">
        <f t="shared" si="7"/>
        <v>GoldGold Coast Refinery</v>
      </c>
    </row>
    <row r="94" spans="1:11">
      <c r="A94" s="209" t="s">
        <v>1098</v>
      </c>
      <c r="B94" s="209" t="s">
        <v>22</v>
      </c>
      <c r="C94" s="209" t="s">
        <v>14918</v>
      </c>
      <c r="D94" s="209" t="s">
        <v>1069</v>
      </c>
      <c r="E94" s="209" t="s">
        <v>715</v>
      </c>
      <c r="F94" s="283" t="s">
        <v>13177</v>
      </c>
      <c r="H94" s="209" t="s">
        <v>1621</v>
      </c>
      <c r="I94" s="209" t="s">
        <v>13532</v>
      </c>
      <c r="J94" s="231" t="str">
        <f t="shared" si="6"/>
        <v>GoldGold Mining in Shandong (Laizhou) Limited Company</v>
      </c>
      <c r="K94" s="231" t="str">
        <f t="shared" si="7"/>
        <v>GoldGold Mining in Shandong (Laizhou) Limited Company</v>
      </c>
    </row>
    <row r="95" spans="1:11">
      <c r="A95" s="209" t="s">
        <v>1098</v>
      </c>
      <c r="B95" s="209" t="s">
        <v>2448</v>
      </c>
      <c r="C95" s="209" t="s">
        <v>2448</v>
      </c>
      <c r="D95" s="209" t="s">
        <v>1069</v>
      </c>
      <c r="E95" s="209" t="s">
        <v>727</v>
      </c>
      <c r="F95" s="283" t="s">
        <v>13177</v>
      </c>
      <c r="H95" s="209" t="s">
        <v>1655</v>
      </c>
      <c r="I95" s="209" t="s">
        <v>13530</v>
      </c>
      <c r="J95" s="231" t="str">
        <f t="shared" si="6"/>
        <v>GoldGold Refinery of Zijin Mining Group Co., Ltd.</v>
      </c>
      <c r="K95" s="231" t="str">
        <f t="shared" si="7"/>
        <v>GoldGold Refinery of Zijin Mining Group Co., Ltd.</v>
      </c>
    </row>
    <row r="96" spans="1:11">
      <c r="A96" s="209" t="s">
        <v>1098</v>
      </c>
      <c r="B96" s="209" t="s">
        <v>1633</v>
      </c>
      <c r="C96" s="209" t="s">
        <v>2169</v>
      </c>
      <c r="D96" s="209" t="s">
        <v>1069</v>
      </c>
      <c r="E96" s="209" t="s">
        <v>714</v>
      </c>
      <c r="F96" s="283" t="s">
        <v>13177</v>
      </c>
      <c r="H96" s="209" t="s">
        <v>1625</v>
      </c>
      <c r="I96" s="209" t="s">
        <v>13538</v>
      </c>
      <c r="J96" s="231" t="str">
        <f t="shared" si="6"/>
        <v>GoldGreat Wall Precious Metals Co,. LTD.</v>
      </c>
      <c r="K96" s="231" t="str">
        <f t="shared" si="7"/>
        <v>GoldGreat Wall Precious Metals Co,. LTD.</v>
      </c>
    </row>
    <row r="97" spans="1:11">
      <c r="A97" s="209" t="s">
        <v>1098</v>
      </c>
      <c r="B97" s="209" t="s">
        <v>2169</v>
      </c>
      <c r="C97" s="209" t="s">
        <v>2169</v>
      </c>
      <c r="D97" s="209" t="s">
        <v>1069</v>
      </c>
      <c r="E97" s="209" t="s">
        <v>714</v>
      </c>
      <c r="F97" s="283" t="s">
        <v>13177</v>
      </c>
      <c r="H97" s="209" t="s">
        <v>1625</v>
      </c>
      <c r="I97" s="209" t="s">
        <v>13538</v>
      </c>
      <c r="J97" s="231" t="str">
        <f t="shared" si="6"/>
        <v>GoldGreat Wall Precious Metals Co., Ltd. of CBPM</v>
      </c>
      <c r="K97" s="231" t="str">
        <f t="shared" si="7"/>
        <v>GoldGreat Wall Precious Metals Co., Ltd. of CBPM</v>
      </c>
    </row>
    <row r="98" spans="1:11">
      <c r="A98" s="209" t="s">
        <v>1098</v>
      </c>
      <c r="B98" s="209" t="s">
        <v>1658</v>
      </c>
      <c r="C98" s="209" t="s">
        <v>657</v>
      </c>
      <c r="D98" s="209" t="s">
        <v>1069</v>
      </c>
      <c r="E98" s="209" t="s">
        <v>658</v>
      </c>
      <c r="F98" s="283" t="s">
        <v>13177</v>
      </c>
      <c r="H98" s="209" t="s">
        <v>1657</v>
      </c>
      <c r="I98" s="209" t="s">
        <v>13536</v>
      </c>
      <c r="J98" s="231" t="str">
        <f t="shared" si="6"/>
        <v>GoldGuangdong Gaoyao Co</v>
      </c>
      <c r="K98" s="231" t="str">
        <f t="shared" si="7"/>
        <v>GoldGuangdong Gaoyao Co</v>
      </c>
    </row>
    <row r="99" spans="1:11">
      <c r="A99" s="209" t="s">
        <v>1098</v>
      </c>
      <c r="B99" s="209" t="s">
        <v>657</v>
      </c>
      <c r="C99" s="209" t="s">
        <v>657</v>
      </c>
      <c r="D99" s="209" t="s">
        <v>1069</v>
      </c>
      <c r="E99" s="209" t="s">
        <v>658</v>
      </c>
      <c r="F99" s="283" t="s">
        <v>13177</v>
      </c>
      <c r="H99" s="209" t="s">
        <v>1657</v>
      </c>
      <c r="I99" s="209" t="s">
        <v>13536</v>
      </c>
      <c r="J99" s="231" t="str">
        <f t="shared" si="6"/>
        <v>GoldGuangdong Jinding Gold Limited</v>
      </c>
      <c r="K99" s="231" t="str">
        <f t="shared" si="7"/>
        <v>GoldGuangdong Jinding Gold Limited</v>
      </c>
    </row>
    <row r="100" spans="1:11">
      <c r="A100" s="209" t="s">
        <v>1098</v>
      </c>
      <c r="B100" s="209" t="s">
        <v>2247</v>
      </c>
      <c r="C100" s="209" t="s">
        <v>15285</v>
      </c>
      <c r="D100" s="209" t="s">
        <v>1075</v>
      </c>
      <c r="E100" s="209" t="s">
        <v>2248</v>
      </c>
      <c r="F100" s="283" t="s">
        <v>13177</v>
      </c>
      <c r="H100" s="209" t="s">
        <v>2249</v>
      </c>
      <c r="I100" s="209" t="s">
        <v>15380</v>
      </c>
      <c r="J100" s="231" t="str">
        <f t="shared" si="6"/>
        <v>GoldGujarat Gold Centre</v>
      </c>
      <c r="K100" s="231" t="str">
        <f t="shared" si="7"/>
        <v>GoldGujarat Gold Centre</v>
      </c>
    </row>
    <row r="101" spans="1:11">
      <c r="A101" s="209" t="s">
        <v>1098</v>
      </c>
      <c r="B101" s="209" t="s">
        <v>1550</v>
      </c>
      <c r="C101" s="209" t="s">
        <v>1550</v>
      </c>
      <c r="D101" s="209" t="s">
        <v>1069</v>
      </c>
      <c r="E101" s="209" t="s">
        <v>1551</v>
      </c>
      <c r="F101" s="283" t="s">
        <v>13177</v>
      </c>
      <c r="H101" s="209" t="s">
        <v>1552</v>
      </c>
      <c r="I101" s="209" t="s">
        <v>13532</v>
      </c>
      <c r="J101" s="231" t="str">
        <f t="shared" si="6"/>
        <v>GoldGuoda Safina High-Tech Environmental Refinery Co., Ltd.</v>
      </c>
      <c r="K101" s="231" t="str">
        <f t="shared" si="7"/>
        <v>GoldGuoda Safina High-Tech Environmental Refinery Co., Ltd.</v>
      </c>
    </row>
    <row r="102" spans="1:11">
      <c r="A102" s="209" t="s">
        <v>1098</v>
      </c>
      <c r="B102" s="209" t="s">
        <v>381</v>
      </c>
      <c r="C102" s="209" t="s">
        <v>381</v>
      </c>
      <c r="D102" s="209" t="s">
        <v>1069</v>
      </c>
      <c r="E102" s="209" t="s">
        <v>382</v>
      </c>
      <c r="F102" s="283" t="s">
        <v>13177</v>
      </c>
      <c r="H102" s="209" t="s">
        <v>1554</v>
      </c>
      <c r="I102" s="209" t="s">
        <v>13528</v>
      </c>
      <c r="J102" s="231" t="str">
        <f t="shared" si="6"/>
        <v>GoldHangzhou Fuchunjiang Smelting Co., Ltd.</v>
      </c>
      <c r="K102" s="231" t="str">
        <f t="shared" si="7"/>
        <v>GoldHangzhou Fuchunjiang Smelting Co., Ltd.</v>
      </c>
    </row>
    <row r="103" spans="1:11">
      <c r="A103" s="209" t="s">
        <v>1098</v>
      </c>
      <c r="B103" s="209" t="s">
        <v>2449</v>
      </c>
      <c r="C103" s="209" t="s">
        <v>13752</v>
      </c>
      <c r="D103" s="209" t="s">
        <v>1080</v>
      </c>
      <c r="E103" s="209" t="s">
        <v>2450</v>
      </c>
      <c r="F103" s="283" t="s">
        <v>13177</v>
      </c>
      <c r="H103" s="209" t="s">
        <v>2451</v>
      </c>
      <c r="I103" s="209" t="s">
        <v>12813</v>
      </c>
      <c r="J103" s="231" t="str">
        <f t="shared" si="6"/>
        <v>GoldHeeSung Metal Ltd.</v>
      </c>
      <c r="K103" s="231" t="str">
        <f t="shared" si="7"/>
        <v>GoldHeeSung Metal Ltd.</v>
      </c>
    </row>
    <row r="104" spans="1:11">
      <c r="A104" s="209" t="s">
        <v>1098</v>
      </c>
      <c r="B104" s="209" t="s">
        <v>1008</v>
      </c>
      <c r="C104" s="209" t="s">
        <v>1008</v>
      </c>
      <c r="D104" s="209" t="s">
        <v>1070</v>
      </c>
      <c r="E104" s="209" t="s">
        <v>659</v>
      </c>
      <c r="F104" s="283" t="s">
        <v>13177</v>
      </c>
      <c r="H104" s="209" t="s">
        <v>1510</v>
      </c>
      <c r="I104" s="209" t="s">
        <v>1511</v>
      </c>
      <c r="J104" s="231" t="str">
        <f t="shared" si="6"/>
        <v>GoldHeimerle + Meule GmbH</v>
      </c>
      <c r="K104" s="231" t="str">
        <f t="shared" si="7"/>
        <v>GoldHeimerle + Meule GmbH</v>
      </c>
    </row>
    <row r="105" spans="1:11">
      <c r="A105" s="209" t="s">
        <v>1098</v>
      </c>
      <c r="B105" s="209" t="s">
        <v>13753</v>
      </c>
      <c r="C105" s="209" t="s">
        <v>1291</v>
      </c>
      <c r="D105" s="209" t="s">
        <v>1069</v>
      </c>
      <c r="E105" s="209" t="s">
        <v>726</v>
      </c>
      <c r="F105" s="283" t="s">
        <v>13177</v>
      </c>
      <c r="H105" s="209" t="s">
        <v>1652</v>
      </c>
      <c r="I105" s="209" t="s">
        <v>13533</v>
      </c>
      <c r="J105" s="231" t="str">
        <f t="shared" si="6"/>
        <v>GoldHenan Zhongyuan Gold Refinery Co., Ltd.</v>
      </c>
      <c r="K105" s="231" t="str">
        <f t="shared" si="7"/>
        <v>GoldHenan Zhongyuan Gold Refinery Co., Ltd.</v>
      </c>
    </row>
    <row r="106" spans="1:11">
      <c r="A106" s="209" t="s">
        <v>1098</v>
      </c>
      <c r="B106" s="209" t="s">
        <v>13754</v>
      </c>
      <c r="C106" s="209" t="s">
        <v>1291</v>
      </c>
      <c r="D106" s="209" t="s">
        <v>1069</v>
      </c>
      <c r="E106" s="209" t="s">
        <v>726</v>
      </c>
      <c r="F106" s="283" t="s">
        <v>13177</v>
      </c>
      <c r="H106" s="209" t="s">
        <v>1652</v>
      </c>
      <c r="I106" s="209" t="s">
        <v>13533</v>
      </c>
      <c r="J106" s="231" t="str">
        <f t="shared" si="6"/>
        <v>GoldHenan Zhongyuan Gold Smelter of Zhongjin Gold Co. Ltd.</v>
      </c>
      <c r="K106" s="231" t="str">
        <f t="shared" si="7"/>
        <v>GoldHenan Zhongyuan Gold Smelter of Zhongjin Gold Co. Ltd.</v>
      </c>
    </row>
    <row r="107" spans="1:11">
      <c r="A107" s="209" t="s">
        <v>1098</v>
      </c>
      <c r="B107" s="209" t="s">
        <v>13755</v>
      </c>
      <c r="C107" s="209" t="s">
        <v>1291</v>
      </c>
      <c r="D107" s="209" t="s">
        <v>1069</v>
      </c>
      <c r="E107" s="209" t="s">
        <v>726</v>
      </c>
      <c r="F107" s="283"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c r="A108" s="209" t="s">
        <v>1098</v>
      </c>
      <c r="B108" s="209" t="s">
        <v>14928</v>
      </c>
      <c r="C108" s="209" t="s">
        <v>14928</v>
      </c>
      <c r="D108" s="209" t="s">
        <v>1070</v>
      </c>
      <c r="E108" s="209" t="s">
        <v>661</v>
      </c>
      <c r="F108" s="283" t="s">
        <v>13177</v>
      </c>
      <c r="H108" s="209" t="s">
        <v>1556</v>
      </c>
      <c r="I108" s="209" t="s">
        <v>4195</v>
      </c>
      <c r="J108" s="231" t="str">
        <f t="shared" si="6"/>
        <v>GoldHeraeus Germany GmbH Co. KG</v>
      </c>
      <c r="K108" s="231" t="str">
        <f t="shared" si="7"/>
        <v>GoldHeraeus Germany GmbH Co. KG</v>
      </c>
    </row>
    <row r="109" spans="1:11">
      <c r="A109" s="209" t="s">
        <v>1098</v>
      </c>
      <c r="B109" s="209" t="s">
        <v>51</v>
      </c>
      <c r="C109" s="209" t="s">
        <v>2452</v>
      </c>
      <c r="D109" s="209" t="s">
        <v>1069</v>
      </c>
      <c r="E109" s="209" t="s">
        <v>660</v>
      </c>
      <c r="F109" s="283" t="s">
        <v>13177</v>
      </c>
      <c r="H109" s="209" t="s">
        <v>1555</v>
      </c>
      <c r="I109" s="209" t="s">
        <v>15604</v>
      </c>
      <c r="J109" s="231" t="str">
        <f t="shared" si="6"/>
        <v>GoldHeraeus Ltd. Hong Kong</v>
      </c>
      <c r="K109" s="231" t="str">
        <f t="shared" si="7"/>
        <v>GoldHeraeus Ltd. Hong Kong</v>
      </c>
    </row>
    <row r="110" spans="1:11">
      <c r="A110" s="209" t="s">
        <v>1098</v>
      </c>
      <c r="B110" s="209" t="s">
        <v>2452</v>
      </c>
      <c r="C110" s="209" t="s">
        <v>2452</v>
      </c>
      <c r="D110" s="209" t="s">
        <v>1069</v>
      </c>
      <c r="E110" s="209" t="s">
        <v>660</v>
      </c>
      <c r="F110" s="283" t="s">
        <v>13177</v>
      </c>
      <c r="H110" s="209" t="s">
        <v>1555</v>
      </c>
      <c r="I110" s="209" t="s">
        <v>15604</v>
      </c>
      <c r="J110" s="231" t="str">
        <f t="shared" si="6"/>
        <v>GoldHeraeus Metals Hong Kong Ltd.</v>
      </c>
      <c r="K110" s="231" t="str">
        <f t="shared" si="7"/>
        <v>GoldHeraeus Metals Hong Kong Ltd.</v>
      </c>
    </row>
    <row r="111" spans="1:11">
      <c r="A111" s="209" t="s">
        <v>1098</v>
      </c>
      <c r="B111" s="209" t="s">
        <v>1193</v>
      </c>
      <c r="C111" s="209" t="s">
        <v>14928</v>
      </c>
      <c r="D111" s="209" t="s">
        <v>1070</v>
      </c>
      <c r="E111" s="209" t="s">
        <v>661</v>
      </c>
      <c r="F111" s="283" t="s">
        <v>13177</v>
      </c>
      <c r="H111" s="209" t="s">
        <v>1556</v>
      </c>
      <c r="I111" s="209" t="s">
        <v>4195</v>
      </c>
      <c r="J111" s="231" t="str">
        <f t="shared" si="6"/>
        <v>GoldHeraeus Precious Metals GmbH &amp; Co. KG</v>
      </c>
      <c r="K111" s="231" t="str">
        <f t="shared" si="7"/>
        <v>GoldHeraeus Precious Metals GmbH &amp; Co. KG</v>
      </c>
    </row>
    <row r="112" spans="1:11">
      <c r="A112" s="209" t="s">
        <v>1098</v>
      </c>
      <c r="B112" s="209" t="s">
        <v>2166</v>
      </c>
      <c r="C112" s="209" t="s">
        <v>2166</v>
      </c>
      <c r="D112" s="209" t="s">
        <v>1069</v>
      </c>
      <c r="E112" s="209" t="s">
        <v>662</v>
      </c>
      <c r="F112" s="283" t="s">
        <v>13177</v>
      </c>
      <c r="H112" s="209" t="s">
        <v>2089</v>
      </c>
      <c r="I112" s="209" t="s">
        <v>13535</v>
      </c>
      <c r="J112" s="231" t="str">
        <f t="shared" si="6"/>
        <v>GoldHunan Chenzhou Mining Co., Ltd.</v>
      </c>
      <c r="K112" s="231" t="str">
        <f t="shared" si="7"/>
        <v>GoldHunan Chenzhou Mining Co., Ltd.</v>
      </c>
    </row>
    <row r="113" spans="1:11">
      <c r="A113" s="209" t="s">
        <v>1098</v>
      </c>
      <c r="B113" s="209" t="s">
        <v>1342</v>
      </c>
      <c r="C113" s="209" t="s">
        <v>2166</v>
      </c>
      <c r="D113" s="209" t="s">
        <v>1069</v>
      </c>
      <c r="E113" s="209" t="s">
        <v>662</v>
      </c>
      <c r="F113" s="283" t="s">
        <v>13177</v>
      </c>
      <c r="H113" s="209" t="s">
        <v>2089</v>
      </c>
      <c r="I113" s="209" t="s">
        <v>13535</v>
      </c>
      <c r="J113" s="231" t="str">
        <f t="shared" si="6"/>
        <v>GoldHunan Chenzhou Mining Group Co., Ltd.</v>
      </c>
      <c r="K113" s="231" t="str">
        <f t="shared" si="7"/>
        <v>GoldHunan Chenzhou Mining Group Co., Ltd.</v>
      </c>
    </row>
    <row r="114" spans="1:11">
      <c r="A114" s="209" t="s">
        <v>1098</v>
      </c>
      <c r="B114" s="209" t="s">
        <v>1557</v>
      </c>
      <c r="C114" s="209" t="s">
        <v>2166</v>
      </c>
      <c r="D114" s="209" t="s">
        <v>1069</v>
      </c>
      <c r="E114" s="209" t="s">
        <v>662</v>
      </c>
      <c r="F114" s="283" t="s">
        <v>13177</v>
      </c>
      <c r="H114" s="209" t="s">
        <v>2089</v>
      </c>
      <c r="I114" s="209" t="s">
        <v>13535</v>
      </c>
      <c r="J114" s="231" t="str">
        <f t="shared" si="6"/>
        <v>GoldHunan Chenzhou Mining Industry Co. Ltd.</v>
      </c>
      <c r="K114" s="231" t="str">
        <f t="shared" si="7"/>
        <v>GoldHunan Chenzhou Mining Industry Co. Ltd.</v>
      </c>
    </row>
    <row r="115" spans="1:11">
      <c r="A115" s="209" t="s">
        <v>1098</v>
      </c>
      <c r="B115" s="209" t="s">
        <v>13113</v>
      </c>
      <c r="C115" s="209" t="s">
        <v>13113</v>
      </c>
      <c r="D115" s="209" t="s">
        <v>1069</v>
      </c>
      <c r="E115" s="209" t="s">
        <v>13114</v>
      </c>
      <c r="F115" s="283" t="s">
        <v>13177</v>
      </c>
      <c r="H115" s="209" t="s">
        <v>1733</v>
      </c>
      <c r="I115" s="209" t="s">
        <v>13535</v>
      </c>
      <c r="J115" s="231" t="str">
        <f t="shared" si="6"/>
        <v>GoldHunan Guiyang yinxing Nonferrous Smelting Co., Ltd.</v>
      </c>
      <c r="K115" s="231" t="str">
        <f t="shared" si="7"/>
        <v>GoldHunan Guiyang yinxing Nonferrous Smelting Co., Ltd.</v>
      </c>
    </row>
    <row r="116" spans="1:11">
      <c r="A116" s="209" t="s">
        <v>1098</v>
      </c>
      <c r="B116" s="209" t="s">
        <v>13115</v>
      </c>
      <c r="C116" s="209" t="s">
        <v>13113</v>
      </c>
      <c r="D116" s="209" t="s">
        <v>1069</v>
      </c>
      <c r="E116" s="209" t="s">
        <v>13114</v>
      </c>
      <c r="F116" s="283" t="s">
        <v>13177</v>
      </c>
      <c r="H116" s="209" t="s">
        <v>1733</v>
      </c>
      <c r="I116" s="209" t="s">
        <v>13535</v>
      </c>
      <c r="J116" s="231" t="str">
        <f t="shared" si="6"/>
        <v>GoldHunan Yu Teng Non-Ferrous Metals Co., Ltd.</v>
      </c>
      <c r="K116" s="231" t="str">
        <f t="shared" si="7"/>
        <v>GoldHunan Yu Teng Non-Ferrous Metals Co., Ltd.</v>
      </c>
    </row>
    <row r="117" spans="1:11">
      <c r="A117" s="209" t="s">
        <v>1098</v>
      </c>
      <c r="B117" s="209" t="s">
        <v>2453</v>
      </c>
      <c r="C117" s="209" t="s">
        <v>2453</v>
      </c>
      <c r="D117" s="209" t="s">
        <v>1080</v>
      </c>
      <c r="E117" s="209" t="s">
        <v>663</v>
      </c>
      <c r="F117" s="283" t="s">
        <v>13177</v>
      </c>
      <c r="H117" s="209" t="s">
        <v>1558</v>
      </c>
      <c r="I117" s="209" t="s">
        <v>12818</v>
      </c>
      <c r="J117" s="231" t="str">
        <f t="shared" si="6"/>
        <v>GoldHwaSeong CJ CO., LTD.</v>
      </c>
      <c r="K117" s="231" t="str">
        <f t="shared" si="7"/>
        <v>GoldHwaSeong CJ CO., LTD.</v>
      </c>
    </row>
    <row r="118" spans="1:11">
      <c r="A118" s="209" t="s">
        <v>1098</v>
      </c>
      <c r="B118" s="209" t="s">
        <v>15673</v>
      </c>
      <c r="C118" s="209" t="s">
        <v>15673</v>
      </c>
      <c r="D118" s="209" t="s">
        <v>864</v>
      </c>
      <c r="E118" s="209" t="s">
        <v>15607</v>
      </c>
      <c r="F118" s="283" t="s">
        <v>13177</v>
      </c>
      <c r="H118" s="209" t="s">
        <v>15605</v>
      </c>
      <c r="I118" s="209" t="s">
        <v>1610</v>
      </c>
      <c r="J118" s="231" t="str">
        <f t="shared" si="6"/>
        <v>GoldImpala Platinum - Platinum Metals Refinery (PMR)</v>
      </c>
      <c r="K118" s="231" t="str">
        <f t="shared" si="7"/>
        <v>GoldImpala Platinum - Platinum Metals Refinery (PMR)</v>
      </c>
    </row>
    <row r="119" spans="1:11">
      <c r="A119" s="209" t="s">
        <v>1098</v>
      </c>
      <c r="B119" s="209" t="s">
        <v>15606</v>
      </c>
      <c r="C119" s="209" t="s">
        <v>15673</v>
      </c>
      <c r="D119" s="209" t="s">
        <v>864</v>
      </c>
      <c r="E119" s="209" t="s">
        <v>15607</v>
      </c>
      <c r="F119" s="283" t="s">
        <v>13177</v>
      </c>
      <c r="H119" s="209" t="s">
        <v>15605</v>
      </c>
      <c r="I119" s="209" t="s">
        <v>1610</v>
      </c>
      <c r="J119" s="231" t="str">
        <f t="shared" si="6"/>
        <v>GoldImpala Refineries – Platinum Metals Refinery (PMR)</v>
      </c>
      <c r="K119" s="231" t="str">
        <f t="shared" si="7"/>
        <v>GoldImpala Refineries – Platinum Metals Refinery (PMR)</v>
      </c>
    </row>
    <row r="120" spans="1:11">
      <c r="A120" s="209" t="s">
        <v>1098</v>
      </c>
      <c r="B120" s="209" t="s">
        <v>14929</v>
      </c>
      <c r="C120" s="209" t="s">
        <v>14929</v>
      </c>
      <c r="D120" s="209" t="s">
        <v>1064</v>
      </c>
      <c r="E120" s="209" t="s">
        <v>2214</v>
      </c>
      <c r="F120" s="283" t="s">
        <v>13177</v>
      </c>
      <c r="H120" s="209" t="s">
        <v>1642</v>
      </c>
      <c r="I120" s="209" t="s">
        <v>3104</v>
      </c>
      <c r="J120" s="231" t="str">
        <f t="shared" si="6"/>
        <v>GoldIndustrial Refining Company</v>
      </c>
      <c r="K120" s="231" t="str">
        <f t="shared" si="7"/>
        <v>GoldIndustrial Refining Company</v>
      </c>
    </row>
    <row r="121" spans="1:11">
      <c r="A121" s="209" t="s">
        <v>1098</v>
      </c>
      <c r="B121" s="209" t="s">
        <v>2250</v>
      </c>
      <c r="C121" s="209" t="s">
        <v>2250</v>
      </c>
      <c r="D121" s="209" t="s">
        <v>1069</v>
      </c>
      <c r="E121" s="209" t="s">
        <v>664</v>
      </c>
      <c r="F121" s="283"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c r="A122" s="209" t="s">
        <v>1098</v>
      </c>
      <c r="B122" s="209" t="s">
        <v>13702</v>
      </c>
      <c r="C122" s="209" t="s">
        <v>13702</v>
      </c>
      <c r="D122" s="209" t="s">
        <v>1061</v>
      </c>
      <c r="E122" s="209" t="s">
        <v>13703</v>
      </c>
      <c r="F122" s="283" t="s">
        <v>13177</v>
      </c>
      <c r="H122" s="209" t="s">
        <v>1668</v>
      </c>
      <c r="I122" s="209" t="s">
        <v>2524</v>
      </c>
      <c r="J122" s="231" t="str">
        <f t="shared" si="6"/>
        <v>GoldInternational Precious Metal Refiners</v>
      </c>
      <c r="K122" s="231" t="str">
        <f t="shared" si="7"/>
        <v>GoldInternational Precious Metal Refiners</v>
      </c>
    </row>
    <row r="123" spans="1:11">
      <c r="A123" s="209" t="s">
        <v>1098</v>
      </c>
      <c r="B123" s="209" t="s">
        <v>1194</v>
      </c>
      <c r="C123" s="209" t="s">
        <v>1194</v>
      </c>
      <c r="D123" s="209" t="s">
        <v>1077</v>
      </c>
      <c r="E123" s="209" t="s">
        <v>665</v>
      </c>
      <c r="F123" s="283" t="s">
        <v>13177</v>
      </c>
      <c r="H123" s="209" t="s">
        <v>1560</v>
      </c>
      <c r="I123" s="209" t="s">
        <v>1547</v>
      </c>
      <c r="J123" s="231" t="str">
        <f t="shared" si="6"/>
        <v>GoldIshifuku Metal Industry Co., Ltd.</v>
      </c>
      <c r="K123" s="231" t="str">
        <f t="shared" si="7"/>
        <v>GoldIshifuku Metal Industry Co., Ltd.</v>
      </c>
    </row>
    <row r="124" spans="1:11">
      <c r="A124" s="209" t="s">
        <v>1098</v>
      </c>
      <c r="B124" s="209" t="s">
        <v>1201</v>
      </c>
      <c r="C124" s="209" t="s">
        <v>1201</v>
      </c>
      <c r="D124" s="209" t="s">
        <v>860</v>
      </c>
      <c r="E124" s="209" t="s">
        <v>666</v>
      </c>
      <c r="F124" s="283" t="s">
        <v>13177</v>
      </c>
      <c r="H124" s="209" t="s">
        <v>1561</v>
      </c>
      <c r="I124" s="209" t="s">
        <v>11215</v>
      </c>
      <c r="J124" s="231" t="str">
        <f t="shared" si="6"/>
        <v>GoldIstanbul Gold Refinery</v>
      </c>
      <c r="K124" s="231" t="str">
        <f t="shared" si="7"/>
        <v>GoldIstanbul Gold Refinery</v>
      </c>
    </row>
    <row r="125" spans="1:11">
      <c r="A125" s="209" t="s">
        <v>1098</v>
      </c>
      <c r="B125" s="209" t="s">
        <v>2454</v>
      </c>
      <c r="C125" s="209" t="s">
        <v>2454</v>
      </c>
      <c r="D125" s="209" t="s">
        <v>1076</v>
      </c>
      <c r="E125" s="209" t="s">
        <v>2455</v>
      </c>
      <c r="F125" s="283" t="s">
        <v>13177</v>
      </c>
      <c r="H125" s="209" t="s">
        <v>1536</v>
      </c>
      <c r="I125" s="209" t="s">
        <v>6417</v>
      </c>
      <c r="J125" s="231" t="str">
        <f t="shared" si="6"/>
        <v>GoldItalpreziosi</v>
      </c>
      <c r="K125" s="231" t="str">
        <f t="shared" si="7"/>
        <v>GoldItalpreziosi</v>
      </c>
    </row>
    <row r="126" spans="1:11">
      <c r="A126" s="209" t="s">
        <v>1098</v>
      </c>
      <c r="B126" s="209" t="s">
        <v>13756</v>
      </c>
      <c r="C126" s="209" t="s">
        <v>13756</v>
      </c>
      <c r="D126" s="209" t="s">
        <v>1075</v>
      </c>
      <c r="E126" s="209" t="s">
        <v>13771</v>
      </c>
      <c r="F126" s="283" t="s">
        <v>13177</v>
      </c>
      <c r="H126" s="209" t="s">
        <v>13783</v>
      </c>
      <c r="I126" s="209" t="s">
        <v>6149</v>
      </c>
      <c r="J126" s="231" t="str">
        <f t="shared" si="6"/>
        <v>GoldJALAN &amp; Company</v>
      </c>
      <c r="K126" s="231" t="str">
        <f t="shared" si="7"/>
        <v>GoldJALAN &amp; Company</v>
      </c>
    </row>
    <row r="127" spans="1:11">
      <c r="A127" s="209" t="s">
        <v>1098</v>
      </c>
      <c r="B127" s="209" t="s">
        <v>879</v>
      </c>
      <c r="C127" s="209" t="s">
        <v>879</v>
      </c>
      <c r="D127" s="209" t="s">
        <v>1077</v>
      </c>
      <c r="E127" s="209" t="s">
        <v>667</v>
      </c>
      <c r="F127" s="283" t="s">
        <v>13177</v>
      </c>
      <c r="H127" s="209" t="s">
        <v>1562</v>
      </c>
      <c r="I127" s="209" t="s">
        <v>1562</v>
      </c>
      <c r="J127" s="231" t="str">
        <f t="shared" si="6"/>
        <v>GoldJapan Mint</v>
      </c>
      <c r="K127" s="231" t="str">
        <f t="shared" si="7"/>
        <v>GoldJapan Mint</v>
      </c>
    </row>
    <row r="128" spans="1:11">
      <c r="A128" s="209" t="s">
        <v>1098</v>
      </c>
      <c r="B128" s="209" t="s">
        <v>1564</v>
      </c>
      <c r="C128" s="209" t="s">
        <v>2251</v>
      </c>
      <c r="D128" s="209" t="s">
        <v>1069</v>
      </c>
      <c r="E128" s="209" t="s">
        <v>668</v>
      </c>
      <c r="F128" s="283" t="s">
        <v>13177</v>
      </c>
      <c r="H128" s="209" t="s">
        <v>1563</v>
      </c>
      <c r="I128" s="209" t="s">
        <v>13531</v>
      </c>
      <c r="J128" s="231" t="str">
        <f t="shared" si="6"/>
        <v>GoldJCC</v>
      </c>
      <c r="K128" s="231" t="str">
        <f t="shared" si="7"/>
        <v>GoldJCC</v>
      </c>
    </row>
    <row r="129" spans="1:11">
      <c r="A129" s="209" t="s">
        <v>1098</v>
      </c>
      <c r="B129" s="209" t="s">
        <v>2251</v>
      </c>
      <c r="C129" s="209" t="s">
        <v>2251</v>
      </c>
      <c r="D129" s="209" t="s">
        <v>1069</v>
      </c>
      <c r="E129" s="209" t="s">
        <v>668</v>
      </c>
      <c r="F129" s="283" t="s">
        <v>13177</v>
      </c>
      <c r="H129" s="209" t="s">
        <v>1563</v>
      </c>
      <c r="I129" s="209" t="s">
        <v>13531</v>
      </c>
      <c r="J129" s="231" t="str">
        <f t="shared" si="6"/>
        <v>GoldJiangxi Copper Co., Ltd.</v>
      </c>
      <c r="K129" s="231" t="str">
        <f t="shared" si="7"/>
        <v>GoldJiangxi Copper Co., Ltd.</v>
      </c>
    </row>
    <row r="130" spans="1:11">
      <c r="A130" s="209" t="s">
        <v>1098</v>
      </c>
      <c r="B130" s="209" t="s">
        <v>988</v>
      </c>
      <c r="C130" s="209" t="s">
        <v>2238</v>
      </c>
      <c r="D130" s="209" t="s">
        <v>1066</v>
      </c>
      <c r="E130" s="209" t="s">
        <v>670</v>
      </c>
      <c r="F130" s="283" t="s">
        <v>13177</v>
      </c>
      <c r="H130" s="209" t="s">
        <v>1568</v>
      </c>
      <c r="I130" s="209" t="s">
        <v>1569</v>
      </c>
      <c r="J130" s="231" t="str">
        <f t="shared" si="6"/>
        <v>GoldJohnson Matthey Canada</v>
      </c>
      <c r="K130" s="231" t="str">
        <f t="shared" si="7"/>
        <v>GoldJohnson Matthey Canada</v>
      </c>
    </row>
    <row r="131" spans="1:11">
      <c r="A131" s="209" t="s">
        <v>1098</v>
      </c>
      <c r="B131" s="209" t="s">
        <v>2100</v>
      </c>
      <c r="C131" s="209" t="s">
        <v>2153</v>
      </c>
      <c r="D131" s="209" t="s">
        <v>2384</v>
      </c>
      <c r="E131" s="209" t="s">
        <v>669</v>
      </c>
      <c r="F131" s="283" t="s">
        <v>13177</v>
      </c>
      <c r="H131" s="209" t="s">
        <v>1565</v>
      </c>
      <c r="I131" s="209" t="s">
        <v>1566</v>
      </c>
      <c r="J131" s="231" t="str">
        <f t="shared" si="6"/>
        <v>GoldJohnson Matthey Inc.</v>
      </c>
      <c r="K131" s="231" t="str">
        <f t="shared" si="7"/>
        <v>GoldJohnson Matthey Inc.</v>
      </c>
    </row>
    <row r="132" spans="1:11">
      <c r="A132" s="209" t="s">
        <v>1098</v>
      </c>
      <c r="B132" s="209" t="s">
        <v>1567</v>
      </c>
      <c r="C132" s="209" t="s">
        <v>2153</v>
      </c>
      <c r="D132" s="209" t="s">
        <v>2384</v>
      </c>
      <c r="E132" s="209" t="s">
        <v>669</v>
      </c>
      <c r="F132" s="283" t="s">
        <v>13177</v>
      </c>
      <c r="H132" s="209" t="s">
        <v>1565</v>
      </c>
      <c r="I132" s="209" t="s">
        <v>1566</v>
      </c>
      <c r="J132" s="231" t="str">
        <f t="shared" si="6"/>
        <v>GoldJohnson Matthey Inc. (USA)</v>
      </c>
      <c r="K132" s="231" t="str">
        <f t="shared" si="7"/>
        <v>GoldJohnson Matthey Inc. (USA)</v>
      </c>
    </row>
    <row r="133" spans="1:11">
      <c r="A133" s="209" t="s">
        <v>1098</v>
      </c>
      <c r="B133" s="209" t="s">
        <v>2101</v>
      </c>
      <c r="C133" s="209" t="s">
        <v>2238</v>
      </c>
      <c r="D133" s="209" t="s">
        <v>1066</v>
      </c>
      <c r="E133" s="209" t="s">
        <v>670</v>
      </c>
      <c r="F133" s="283" t="s">
        <v>13177</v>
      </c>
      <c r="H133" s="209" t="s">
        <v>1568</v>
      </c>
      <c r="I133" s="209" t="s">
        <v>1569</v>
      </c>
      <c r="J133" s="231" t="str">
        <f t="shared" si="6"/>
        <v>GoldJohnson Matthey Limited</v>
      </c>
      <c r="K133" s="231" t="str">
        <f t="shared" si="7"/>
        <v>GoldJohnson Matthey Limited</v>
      </c>
    </row>
    <row r="134" spans="1:11">
      <c r="A134" s="209" t="s">
        <v>1098</v>
      </c>
      <c r="B134" s="209" t="s">
        <v>880</v>
      </c>
      <c r="C134" s="209" t="s">
        <v>880</v>
      </c>
      <c r="D134" s="209" t="s">
        <v>854</v>
      </c>
      <c r="E134" s="209" t="s">
        <v>671</v>
      </c>
      <c r="F134" s="283" t="s">
        <v>13177</v>
      </c>
      <c r="H134" s="209" t="s">
        <v>1570</v>
      </c>
      <c r="I134" s="209" t="s">
        <v>9890</v>
      </c>
      <c r="J134" s="231" t="str">
        <f t="shared" si="6"/>
        <v>GoldJSC Ekaterinburg Non-Ferrous Metal Processing Plant</v>
      </c>
      <c r="K134" s="231" t="str">
        <f t="shared" si="7"/>
        <v>GoldJSC Ekaterinburg Non-Ferrous Metal Processing Plant</v>
      </c>
    </row>
    <row r="135" spans="1:11">
      <c r="A135" s="209" t="s">
        <v>1098</v>
      </c>
      <c r="B135" s="209" t="s">
        <v>14927</v>
      </c>
      <c r="C135" s="209" t="s">
        <v>14927</v>
      </c>
      <c r="D135" s="209" t="s">
        <v>854</v>
      </c>
      <c r="E135" s="209" t="s">
        <v>655</v>
      </c>
      <c r="F135" s="283" t="s">
        <v>13177</v>
      </c>
      <c r="H135" s="209" t="s">
        <v>1548</v>
      </c>
      <c r="I135" s="209" t="s">
        <v>9952</v>
      </c>
      <c r="J135" s="231" t="str">
        <f t="shared" si="6"/>
        <v>GoldJSC Novosibirsk Refinery</v>
      </c>
      <c r="K135" s="231" t="str">
        <f t="shared" si="7"/>
        <v>GoldJSC Novosibirsk Refinery</v>
      </c>
    </row>
    <row r="136" spans="1:11">
      <c r="A136" s="209" t="s">
        <v>1098</v>
      </c>
      <c r="B136" s="209" t="s">
        <v>1371</v>
      </c>
      <c r="C136" s="209" t="s">
        <v>1371</v>
      </c>
      <c r="D136" s="209" t="s">
        <v>854</v>
      </c>
      <c r="E136" s="209" t="s">
        <v>672</v>
      </c>
      <c r="F136" s="283" t="s">
        <v>13177</v>
      </c>
      <c r="H136" s="209" t="s">
        <v>1570</v>
      </c>
      <c r="I136" s="209" t="s">
        <v>9890</v>
      </c>
      <c r="J136" s="231" t="str">
        <f t="shared" si="6"/>
        <v>GoldJSC Uralelectromed</v>
      </c>
      <c r="K136" s="231" t="str">
        <f t="shared" si="7"/>
        <v>GoldJSC Uralelectromed</v>
      </c>
    </row>
    <row r="137" spans="1:11">
      <c r="A137" s="209" t="s">
        <v>1098</v>
      </c>
      <c r="B137" s="209" t="s">
        <v>52</v>
      </c>
      <c r="C137" s="209" t="s">
        <v>52</v>
      </c>
      <c r="D137" s="209" t="s">
        <v>1077</v>
      </c>
      <c r="E137" s="209" t="s">
        <v>673</v>
      </c>
      <c r="F137" s="283" t="s">
        <v>13177</v>
      </c>
      <c r="H137" s="209" t="s">
        <v>2314</v>
      </c>
      <c r="I137" s="209" t="s">
        <v>6611</v>
      </c>
      <c r="J137" s="231" t="str">
        <f t="shared" si="6"/>
        <v>GoldJX Nippon Mining &amp; Metals Co., Ltd.</v>
      </c>
      <c r="K137" s="231" t="str">
        <f t="shared" si="7"/>
        <v>GoldJX Nippon Mining &amp; Metals Co., Ltd.</v>
      </c>
    </row>
    <row r="138" spans="1:11">
      <c r="A138" s="209" t="s">
        <v>1098</v>
      </c>
      <c r="B138" s="209" t="s">
        <v>14930</v>
      </c>
      <c r="C138" s="209" t="s">
        <v>14930</v>
      </c>
      <c r="D138" s="209" t="s">
        <v>13030</v>
      </c>
      <c r="E138" s="209" t="s">
        <v>14931</v>
      </c>
      <c r="F138" s="283" t="s">
        <v>13177</v>
      </c>
      <c r="H138" s="209" t="s">
        <v>14980</v>
      </c>
      <c r="I138" s="209" t="s">
        <v>15391</v>
      </c>
      <c r="J138" s="231" t="str">
        <f t="shared" si="6"/>
        <v>GoldK.A. Rasmussen</v>
      </c>
      <c r="K138" s="231" t="str">
        <f t="shared" si="7"/>
        <v>GoldK.A. Rasmussen</v>
      </c>
    </row>
    <row r="139" spans="1:11">
      <c r="A139" s="209" t="s">
        <v>1098</v>
      </c>
      <c r="B139" s="209" t="s">
        <v>1671</v>
      </c>
      <c r="C139" s="209" t="s">
        <v>1671</v>
      </c>
      <c r="D139" s="209" t="s">
        <v>1061</v>
      </c>
      <c r="E139" s="209" t="s">
        <v>1672</v>
      </c>
      <c r="F139" s="283" t="s">
        <v>13177</v>
      </c>
      <c r="H139" s="209" t="s">
        <v>1668</v>
      </c>
      <c r="I139" s="209" t="s">
        <v>2524</v>
      </c>
      <c r="J139" s="231" t="str">
        <f t="shared" si="6"/>
        <v>GoldKaloti Precious Metals</v>
      </c>
      <c r="K139" s="231" t="str">
        <f t="shared" si="7"/>
        <v>GoldKaloti Precious Metals</v>
      </c>
    </row>
    <row r="140" spans="1:11">
      <c r="A140" s="209" t="s">
        <v>1098</v>
      </c>
      <c r="B140" s="209" t="s">
        <v>2147</v>
      </c>
      <c r="C140" s="209" t="s">
        <v>2147</v>
      </c>
      <c r="D140" s="209" t="s">
        <v>1078</v>
      </c>
      <c r="E140" s="209" t="s">
        <v>2148</v>
      </c>
      <c r="F140" s="283" t="s">
        <v>13177</v>
      </c>
      <c r="H140" s="209" t="s">
        <v>2149</v>
      </c>
      <c r="I140" s="209" t="s">
        <v>7005</v>
      </c>
      <c r="J140" s="231" t="str">
        <f t="shared" si="6"/>
        <v>GoldKazakhmys Smelting LLC</v>
      </c>
      <c r="K140" s="231" t="str">
        <f t="shared" si="7"/>
        <v>GoldKazakhmys Smelting LLC</v>
      </c>
    </row>
    <row r="141" spans="1:11">
      <c r="A141" s="209" t="s">
        <v>1098</v>
      </c>
      <c r="B141" s="209" t="s">
        <v>1571</v>
      </c>
      <c r="C141" s="209" t="s">
        <v>1571</v>
      </c>
      <c r="D141" s="209" t="s">
        <v>1078</v>
      </c>
      <c r="E141" s="209" t="s">
        <v>674</v>
      </c>
      <c r="F141" s="283" t="s">
        <v>13177</v>
      </c>
      <c r="H141" s="209" t="s">
        <v>1572</v>
      </c>
      <c r="I141" s="209" t="s">
        <v>7005</v>
      </c>
      <c r="J141" s="231" t="str">
        <f t="shared" si="6"/>
        <v>GoldKazzinc</v>
      </c>
      <c r="K141" s="231" t="str">
        <f t="shared" si="7"/>
        <v>GoldKazzinc</v>
      </c>
    </row>
    <row r="142" spans="1:11">
      <c r="A142" s="209" t="s">
        <v>1098</v>
      </c>
      <c r="B142" s="209" t="s">
        <v>675</v>
      </c>
      <c r="C142" s="209" t="s">
        <v>675</v>
      </c>
      <c r="D142" s="209" t="s">
        <v>2384</v>
      </c>
      <c r="E142" s="209" t="s">
        <v>676</v>
      </c>
      <c r="F142" s="283" t="s">
        <v>13177</v>
      </c>
      <c r="H142" s="209" t="s">
        <v>1573</v>
      </c>
      <c r="I142" s="209" t="s">
        <v>1566</v>
      </c>
      <c r="J142" s="231" t="str">
        <f t="shared" si="6"/>
        <v>GoldKennecott Utah Copper LLC</v>
      </c>
      <c r="K142" s="231" t="str">
        <f t="shared" si="7"/>
        <v>GoldKennecott Utah Copper LLC</v>
      </c>
    </row>
    <row r="143" spans="1:11">
      <c r="A143" s="209" t="s">
        <v>1098</v>
      </c>
      <c r="B143" s="209" t="s">
        <v>2457</v>
      </c>
      <c r="C143" s="209" t="s">
        <v>12653</v>
      </c>
      <c r="D143" s="209" t="s">
        <v>853</v>
      </c>
      <c r="E143" s="209" t="s">
        <v>1354</v>
      </c>
      <c r="F143" s="283" t="s">
        <v>13177</v>
      </c>
      <c r="H143" s="209" t="s">
        <v>1661</v>
      </c>
      <c r="I143" s="209" t="s">
        <v>9441</v>
      </c>
      <c r="J143" s="231" t="str">
        <f t="shared" si="6"/>
        <v>GoldKGHM Polska Miedz S.A.</v>
      </c>
      <c r="K143" s="231" t="str">
        <f t="shared" si="7"/>
        <v>GoldKGHM Polska Miedz S.A.</v>
      </c>
    </row>
    <row r="144" spans="1:11">
      <c r="A144" s="209" t="s">
        <v>1098</v>
      </c>
      <c r="B144" s="209" t="s">
        <v>12653</v>
      </c>
      <c r="C144" s="209" t="s">
        <v>12653</v>
      </c>
      <c r="D144" s="209" t="s">
        <v>853</v>
      </c>
      <c r="E144" s="209" t="s">
        <v>1354</v>
      </c>
      <c r="F144" s="283" t="s">
        <v>13177</v>
      </c>
      <c r="H144" s="209" t="s">
        <v>1661</v>
      </c>
      <c r="I144" s="209" t="s">
        <v>9441</v>
      </c>
      <c r="J144" s="231" t="str">
        <f t="shared" si="6"/>
        <v>GoldKGHM Polska Miedz Spolka Akcyjna</v>
      </c>
      <c r="K144" s="231" t="str">
        <f t="shared" si="7"/>
        <v>GoldKGHM Polska Miedz Spolka Akcyjna</v>
      </c>
    </row>
    <row r="145" spans="1:11">
      <c r="A145" s="209" t="s">
        <v>1098</v>
      </c>
      <c r="B145" s="209" t="s">
        <v>1353</v>
      </c>
      <c r="C145" s="209" t="s">
        <v>12653</v>
      </c>
      <c r="D145" s="209" t="s">
        <v>853</v>
      </c>
      <c r="E145" s="209" t="s">
        <v>1354</v>
      </c>
      <c r="F145" s="283" t="s">
        <v>13177</v>
      </c>
      <c r="H145" s="209" t="s">
        <v>1661</v>
      </c>
      <c r="I145" s="209" t="s">
        <v>9441</v>
      </c>
      <c r="J145" s="231" t="str">
        <f t="shared" si="6"/>
        <v>GoldKGHM Polska Miedź Spółka Akcyjna</v>
      </c>
      <c r="K145" s="231" t="str">
        <f t="shared" si="7"/>
        <v>GoldKGHM Polska Miedź Spółka Akcyjna</v>
      </c>
    </row>
    <row r="146" spans="1:11">
      <c r="A146" s="209" t="s">
        <v>1098</v>
      </c>
      <c r="B146" s="209" t="s">
        <v>15608</v>
      </c>
      <c r="C146" s="209" t="s">
        <v>12873</v>
      </c>
      <c r="D146" s="209" t="s">
        <v>1077</v>
      </c>
      <c r="E146" s="209" t="s">
        <v>723</v>
      </c>
      <c r="F146" s="283" t="s">
        <v>13177</v>
      </c>
      <c r="H146" s="209" t="s">
        <v>12886</v>
      </c>
      <c r="I146" s="209" t="s">
        <v>6574</v>
      </c>
      <c r="J146" s="231" t="str">
        <f t="shared" si="6"/>
        <v>GoldKochi daiicihi Yamaminami plant</v>
      </c>
      <c r="K146" s="231" t="str">
        <f t="shared" si="7"/>
        <v>GoldKochi daiicihi Yamaminami plant</v>
      </c>
    </row>
    <row r="147" spans="1:11">
      <c r="A147" s="209" t="s">
        <v>1098</v>
      </c>
      <c r="B147" s="209" t="s">
        <v>2102</v>
      </c>
      <c r="C147" s="209" t="s">
        <v>2102</v>
      </c>
      <c r="D147" s="209" t="s">
        <v>1077</v>
      </c>
      <c r="E147" s="209" t="s">
        <v>677</v>
      </c>
      <c r="F147" s="283" t="s">
        <v>13177</v>
      </c>
      <c r="H147" s="209" t="s">
        <v>1574</v>
      </c>
      <c r="I147" s="209" t="s">
        <v>1547</v>
      </c>
      <c r="J147" s="231" t="str">
        <f t="shared" ref="J147:J210" si="8">A147&amp;B147</f>
        <v>GoldKojima Chemicals Co., Ltd.</v>
      </c>
      <c r="K147" s="231" t="str">
        <f t="shared" ref="K147:K210" si="9">A147&amp;B147</f>
        <v>GoldKojima Chemicals Co., Ltd.</v>
      </c>
    </row>
    <row r="148" spans="1:11">
      <c r="A148" s="209" t="s">
        <v>1098</v>
      </c>
      <c r="B148" s="209" t="s">
        <v>1575</v>
      </c>
      <c r="C148" s="209" t="s">
        <v>2102</v>
      </c>
      <c r="D148" s="209" t="s">
        <v>1077</v>
      </c>
      <c r="E148" s="209" t="s">
        <v>677</v>
      </c>
      <c r="F148" s="283" t="s">
        <v>13177</v>
      </c>
      <c r="H148" s="209" t="s">
        <v>1574</v>
      </c>
      <c r="I148" s="209" t="s">
        <v>1547</v>
      </c>
      <c r="J148" s="231" t="str">
        <f t="shared" si="8"/>
        <v>GoldKojima Kagaku Yakuhin Co., Ltd</v>
      </c>
      <c r="K148" s="231" t="str">
        <f t="shared" si="9"/>
        <v>GoldKojima Kagaku Yakuhin Co., Ltd</v>
      </c>
    </row>
    <row r="149" spans="1:11">
      <c r="A149" s="209" t="s">
        <v>1098</v>
      </c>
      <c r="B149" s="209" t="s">
        <v>2171</v>
      </c>
      <c r="C149" s="209" t="s">
        <v>12653</v>
      </c>
      <c r="D149" s="209" t="s">
        <v>853</v>
      </c>
      <c r="E149" s="209" t="s">
        <v>1354</v>
      </c>
      <c r="F149" s="283" t="s">
        <v>13177</v>
      </c>
      <c r="H149" s="209" t="s">
        <v>1661</v>
      </c>
      <c r="I149" s="209" t="s">
        <v>9441</v>
      </c>
      <c r="J149" s="231" t="str">
        <f t="shared" si="8"/>
        <v>GoldKombinat Gorniczo Hutniczy Miedz Polska Miedz S.A.</v>
      </c>
      <c r="K149" s="231" t="str">
        <f t="shared" si="9"/>
        <v>GoldKombinat Gorniczo Hutniczy Miedz Polska Miedz S.A.</v>
      </c>
    </row>
    <row r="150" spans="1:11">
      <c r="A150" s="209" t="s">
        <v>1098</v>
      </c>
      <c r="B150" s="209" t="s">
        <v>2254</v>
      </c>
      <c r="C150" s="209" t="s">
        <v>2254</v>
      </c>
      <c r="D150" s="209" t="s">
        <v>1080</v>
      </c>
      <c r="E150" s="209" t="s">
        <v>1678</v>
      </c>
      <c r="F150" s="283" t="s">
        <v>13177</v>
      </c>
      <c r="H150" s="209" t="s">
        <v>15609</v>
      </c>
      <c r="I150" s="209" t="s">
        <v>12824</v>
      </c>
      <c r="J150" s="231" t="str">
        <f t="shared" si="8"/>
        <v>GoldKorea Zinc Co., Ltd.</v>
      </c>
      <c r="K150" s="231" t="str">
        <f t="shared" si="9"/>
        <v>GoldKorea Zinc Co., Ltd.</v>
      </c>
    </row>
    <row r="151" spans="1:11">
      <c r="A151" s="209" t="s">
        <v>1098</v>
      </c>
      <c r="B151" s="209" t="s">
        <v>14932</v>
      </c>
      <c r="C151" s="209" t="s">
        <v>877</v>
      </c>
      <c r="D151" s="209" t="s">
        <v>1077</v>
      </c>
      <c r="E151" s="209" t="s">
        <v>654</v>
      </c>
      <c r="F151" s="283" t="s">
        <v>13177</v>
      </c>
      <c r="H151" s="209" t="s">
        <v>1541</v>
      </c>
      <c r="I151" s="209" t="s">
        <v>1542</v>
      </c>
      <c r="J151" s="231" t="str">
        <f t="shared" si="8"/>
        <v>GoldKosak Seiren</v>
      </c>
      <c r="K151" s="231" t="str">
        <f t="shared" si="9"/>
        <v>GoldKosak Seiren</v>
      </c>
    </row>
    <row r="152" spans="1:11">
      <c r="A152" s="209" t="s">
        <v>1098</v>
      </c>
      <c r="B152" s="209" t="s">
        <v>12866</v>
      </c>
      <c r="C152" s="209" t="s">
        <v>675</v>
      </c>
      <c r="D152" s="209" t="s">
        <v>2384</v>
      </c>
      <c r="E152" s="209" t="s">
        <v>676</v>
      </c>
      <c r="F152" s="283" t="s">
        <v>13177</v>
      </c>
      <c r="H152" s="209" t="s">
        <v>1573</v>
      </c>
      <c r="I152" s="209" t="s">
        <v>1566</v>
      </c>
      <c r="J152" s="231" t="str">
        <f t="shared" si="8"/>
        <v>GoldKUC</v>
      </c>
      <c r="K152" s="231" t="str">
        <f t="shared" si="9"/>
        <v>GoldKUC</v>
      </c>
    </row>
    <row r="153" spans="1:11">
      <c r="A153" s="209" t="s">
        <v>1098</v>
      </c>
      <c r="B153" s="209" t="s">
        <v>13757</v>
      </c>
      <c r="C153" s="209" t="s">
        <v>13757</v>
      </c>
      <c r="D153" s="209" t="s">
        <v>1075</v>
      </c>
      <c r="E153" s="209" t="s">
        <v>13772</v>
      </c>
      <c r="F153" s="283" t="s">
        <v>13177</v>
      </c>
      <c r="H153" s="209" t="s">
        <v>13784</v>
      </c>
      <c r="I153" s="209" t="s">
        <v>15390</v>
      </c>
      <c r="J153" s="231" t="str">
        <f t="shared" si="8"/>
        <v>GoldKundan Care Products Ltd.</v>
      </c>
      <c r="K153" s="231" t="str">
        <f t="shared" si="9"/>
        <v>GoldKundan Care Products Ltd.</v>
      </c>
    </row>
    <row r="154" spans="1:11">
      <c r="A154" s="209" t="s">
        <v>1098</v>
      </c>
      <c r="B154" s="209" t="s">
        <v>817</v>
      </c>
      <c r="C154" s="209" t="s">
        <v>817</v>
      </c>
      <c r="D154" s="209" t="s">
        <v>1079</v>
      </c>
      <c r="E154" s="209" t="s">
        <v>678</v>
      </c>
      <c r="F154" s="283" t="s">
        <v>13177</v>
      </c>
      <c r="H154" s="209" t="s">
        <v>1576</v>
      </c>
      <c r="I154" s="209" t="s">
        <v>12807</v>
      </c>
      <c r="J154" s="231" t="str">
        <f t="shared" si="8"/>
        <v>GoldKyrgyzaltyn JSC</v>
      </c>
      <c r="K154" s="231" t="str">
        <f t="shared" si="9"/>
        <v>GoldKyrgyzaltyn JSC</v>
      </c>
    </row>
    <row r="155" spans="1:11">
      <c r="A155" s="209" t="s">
        <v>1098</v>
      </c>
      <c r="B155" s="209" t="s">
        <v>2458</v>
      </c>
      <c r="C155" s="209" t="s">
        <v>2458</v>
      </c>
      <c r="D155" s="209" t="s">
        <v>854</v>
      </c>
      <c r="E155" s="209" t="s">
        <v>2459</v>
      </c>
      <c r="F155" s="283" t="s">
        <v>13177</v>
      </c>
      <c r="H155" s="209" t="s">
        <v>12355</v>
      </c>
      <c r="I155" s="209" t="s">
        <v>9897</v>
      </c>
      <c r="J155" s="231" t="str">
        <f t="shared" si="8"/>
        <v>GoldKyshtym Copper-Electrolytic Plant ZAO</v>
      </c>
      <c r="K155" s="231" t="str">
        <f t="shared" si="9"/>
        <v>GoldKyshtym Copper-Electrolytic Plant ZAO</v>
      </c>
    </row>
    <row r="156" spans="1:11">
      <c r="A156" s="209" t="s">
        <v>1098</v>
      </c>
      <c r="B156" s="209" t="s">
        <v>2172</v>
      </c>
      <c r="C156" s="209" t="s">
        <v>876</v>
      </c>
      <c r="D156" s="209" t="s">
        <v>1082</v>
      </c>
      <c r="E156" s="209" t="s">
        <v>646</v>
      </c>
      <c r="F156" s="283" t="s">
        <v>13177</v>
      </c>
      <c r="H156" s="209" t="s">
        <v>1526</v>
      </c>
      <c r="I156" s="209" t="s">
        <v>1527</v>
      </c>
      <c r="J156" s="231" t="str">
        <f t="shared" si="8"/>
        <v>GoldLa Caridad</v>
      </c>
      <c r="K156" s="231" t="str">
        <f t="shared" si="9"/>
        <v>GoldLa Caridad</v>
      </c>
    </row>
    <row r="157" spans="1:11">
      <c r="A157" s="209" t="s">
        <v>1098</v>
      </c>
      <c r="B157" s="209" t="s">
        <v>23</v>
      </c>
      <c r="C157" s="209" t="s">
        <v>14918</v>
      </c>
      <c r="D157" s="209" t="s">
        <v>1069</v>
      </c>
      <c r="E157" s="209" t="s">
        <v>715</v>
      </c>
      <c r="F157" s="283" t="s">
        <v>13177</v>
      </c>
      <c r="H157" s="209" t="s">
        <v>1621</v>
      </c>
      <c r="I157" s="209" t="s">
        <v>13532</v>
      </c>
      <c r="J157" s="231" t="str">
        <f t="shared" si="8"/>
        <v>GoldLAIZHOU SHANDONG</v>
      </c>
      <c r="K157" s="231" t="str">
        <f t="shared" si="9"/>
        <v>GoldLAIZHOU SHANDONG</v>
      </c>
    </row>
    <row r="158" spans="1:11">
      <c r="A158" s="209" t="s">
        <v>1098</v>
      </c>
      <c r="B158" s="209" t="s">
        <v>2255</v>
      </c>
      <c r="C158" s="209" t="s">
        <v>2255</v>
      </c>
      <c r="D158" s="209" t="s">
        <v>855</v>
      </c>
      <c r="E158" s="209" t="s">
        <v>679</v>
      </c>
      <c r="F158" s="283" t="s">
        <v>13177</v>
      </c>
      <c r="H158" s="209" t="s">
        <v>1577</v>
      </c>
      <c r="I158" s="209" t="s">
        <v>10034</v>
      </c>
      <c r="J158" s="231" t="str">
        <f t="shared" si="8"/>
        <v>GoldL'azurde Company For Jewelry</v>
      </c>
      <c r="K158" s="231" t="str">
        <f t="shared" si="9"/>
        <v>GoldL'azurde Company For Jewelry</v>
      </c>
    </row>
    <row r="159" spans="1:11">
      <c r="A159" s="209" t="s">
        <v>1098</v>
      </c>
      <c r="B159" s="209" t="s">
        <v>2390</v>
      </c>
      <c r="C159" s="209" t="s">
        <v>2256</v>
      </c>
      <c r="D159" s="209" t="s">
        <v>1069</v>
      </c>
      <c r="E159" s="209" t="s">
        <v>1355</v>
      </c>
      <c r="F159" s="283" t="s">
        <v>13177</v>
      </c>
      <c r="H159" s="209" t="s">
        <v>1578</v>
      </c>
      <c r="I159" s="209" t="s">
        <v>13533</v>
      </c>
      <c r="J159" s="231" t="str">
        <f t="shared" si="8"/>
        <v>GoldLinBao Gold Mining</v>
      </c>
      <c r="K159" s="231" t="str">
        <f t="shared" si="9"/>
        <v>GoldLinBao Gold Mining</v>
      </c>
    </row>
    <row r="160" spans="1:11">
      <c r="A160" s="209" t="s">
        <v>1098</v>
      </c>
      <c r="B160" s="209" t="s">
        <v>2256</v>
      </c>
      <c r="C160" s="209" t="s">
        <v>2256</v>
      </c>
      <c r="D160" s="209" t="s">
        <v>1069</v>
      </c>
      <c r="E160" s="209" t="s">
        <v>1355</v>
      </c>
      <c r="F160" s="283" t="s">
        <v>13177</v>
      </c>
      <c r="H160" s="209" t="s">
        <v>1578</v>
      </c>
      <c r="I160" s="209" t="s">
        <v>13533</v>
      </c>
      <c r="J160" s="231" t="str">
        <f t="shared" si="8"/>
        <v>GoldLingbao Gold Co., Ltd.</v>
      </c>
      <c r="K160" s="231" t="str">
        <f t="shared" si="9"/>
        <v>GoldLingbao Gold Co., Ltd.</v>
      </c>
    </row>
    <row r="161" spans="1:11">
      <c r="A161" s="209" t="s">
        <v>1098</v>
      </c>
      <c r="B161" s="209" t="s">
        <v>2103</v>
      </c>
      <c r="C161" s="209" t="s">
        <v>2103</v>
      </c>
      <c r="D161" s="209" t="s">
        <v>1069</v>
      </c>
      <c r="E161" s="209" t="s">
        <v>680</v>
      </c>
      <c r="F161" s="283" t="s">
        <v>13177</v>
      </c>
      <c r="H161" s="209" t="s">
        <v>1578</v>
      </c>
      <c r="I161" s="209" t="s">
        <v>13533</v>
      </c>
      <c r="J161" s="231" t="str">
        <f t="shared" si="8"/>
        <v>GoldLingbao Jinyuan Tonghui Refinery Co., Ltd.</v>
      </c>
      <c r="K161" s="231" t="str">
        <f t="shared" si="9"/>
        <v>GoldLingbao Jinyuan Tonghui Refinery Co., Ltd.</v>
      </c>
    </row>
    <row r="162" spans="1:11">
      <c r="A162" s="209" t="s">
        <v>1098</v>
      </c>
      <c r="B162" s="209" t="s">
        <v>2391</v>
      </c>
      <c r="C162" s="209" t="s">
        <v>2391</v>
      </c>
      <c r="D162" s="209" t="s">
        <v>1060</v>
      </c>
      <c r="E162" s="209" t="s">
        <v>2392</v>
      </c>
      <c r="F162" s="283" t="s">
        <v>13177</v>
      </c>
      <c r="H162" s="209" t="s">
        <v>2402</v>
      </c>
      <c r="I162" s="209" t="s">
        <v>2402</v>
      </c>
      <c r="J162" s="231" t="str">
        <f t="shared" si="8"/>
        <v>GoldL'Orfebre S.A.</v>
      </c>
      <c r="K162" s="231" t="str">
        <f t="shared" si="9"/>
        <v>GoldL'Orfebre S.A.</v>
      </c>
    </row>
    <row r="163" spans="1:11">
      <c r="A163" s="209" t="s">
        <v>1098</v>
      </c>
      <c r="B163" s="209" t="s">
        <v>15610</v>
      </c>
      <c r="C163" s="209" t="s">
        <v>15610</v>
      </c>
      <c r="D163" s="209" t="s">
        <v>1080</v>
      </c>
      <c r="E163" s="209" t="s">
        <v>681</v>
      </c>
      <c r="F163" s="283" t="s">
        <v>13177</v>
      </c>
      <c r="H163" s="209" t="s">
        <v>1579</v>
      </c>
      <c r="I163" s="209" t="s">
        <v>12814</v>
      </c>
      <c r="J163" s="231" t="str">
        <f t="shared" si="8"/>
        <v>GoldLS MnM Inc.</v>
      </c>
      <c r="K163" s="231" t="str">
        <f t="shared" si="9"/>
        <v>GoldLS MnM Inc.</v>
      </c>
    </row>
    <row r="164" spans="1:11">
      <c r="A164" s="209" t="s">
        <v>1098</v>
      </c>
      <c r="B164" s="209" t="s">
        <v>13752</v>
      </c>
      <c r="C164" s="209" t="s">
        <v>13752</v>
      </c>
      <c r="D164" s="209" t="s">
        <v>1080</v>
      </c>
      <c r="E164" s="209" t="s">
        <v>2450</v>
      </c>
      <c r="F164" s="283" t="s">
        <v>13177</v>
      </c>
      <c r="H164" s="209" t="s">
        <v>2451</v>
      </c>
      <c r="I164" s="209" t="s">
        <v>12813</v>
      </c>
      <c r="J164" s="231" t="str">
        <f t="shared" si="8"/>
        <v>GoldLT Metal Ltd.</v>
      </c>
      <c r="K164" s="231" t="str">
        <f t="shared" si="9"/>
        <v>GoldLT Metal Ltd.</v>
      </c>
    </row>
    <row r="165" spans="1:11">
      <c r="A165" s="209" t="s">
        <v>1098</v>
      </c>
      <c r="B165" s="209" t="s">
        <v>1580</v>
      </c>
      <c r="C165" s="209" t="s">
        <v>1580</v>
      </c>
      <c r="D165" s="209" t="s">
        <v>1069</v>
      </c>
      <c r="E165" s="209" t="s">
        <v>683</v>
      </c>
      <c r="F165" s="283" t="s">
        <v>13177</v>
      </c>
      <c r="H165" s="209" t="s">
        <v>1581</v>
      </c>
      <c r="I165" s="209" t="s">
        <v>13533</v>
      </c>
      <c r="J165" s="231" t="str">
        <f t="shared" si="8"/>
        <v>GoldLuoyang Zijin Yinhui Gold Refinery Co., Ltd.</v>
      </c>
      <c r="K165" s="231" t="str">
        <f t="shared" si="9"/>
        <v>GoldLuoyang Zijin Yinhui Gold Refinery Co., Ltd.</v>
      </c>
    </row>
    <row r="166" spans="1:11">
      <c r="A166" s="209" t="s">
        <v>1098</v>
      </c>
      <c r="B166" s="209" t="s">
        <v>24</v>
      </c>
      <c r="C166" s="209" t="s">
        <v>1580</v>
      </c>
      <c r="D166" s="209" t="s">
        <v>1069</v>
      </c>
      <c r="E166" s="209" t="s">
        <v>683</v>
      </c>
      <c r="F166" s="283" t="s">
        <v>13177</v>
      </c>
      <c r="H166" s="209" t="s">
        <v>1581</v>
      </c>
      <c r="I166" s="209" t="s">
        <v>13533</v>
      </c>
      <c r="J166" s="231" t="str">
        <f t="shared" si="8"/>
        <v>GoldLuoyang Zijin Yinhui Gold Smelting</v>
      </c>
      <c r="K166" s="231" t="str">
        <f t="shared" si="9"/>
        <v>GoldLuoyang Zijin Yinhui Gold Smelting</v>
      </c>
    </row>
    <row r="167" spans="1:11">
      <c r="A167" s="209" t="s">
        <v>1098</v>
      </c>
      <c r="B167" s="209" t="s">
        <v>682</v>
      </c>
      <c r="C167" s="209" t="s">
        <v>1580</v>
      </c>
      <c r="D167" s="209" t="s">
        <v>1069</v>
      </c>
      <c r="E167" s="209" t="s">
        <v>683</v>
      </c>
      <c r="F167" s="283" t="s">
        <v>13177</v>
      </c>
      <c r="H167" s="209" t="s">
        <v>1581</v>
      </c>
      <c r="I167" s="209" t="s">
        <v>13533</v>
      </c>
      <c r="J167" s="231" t="str">
        <f t="shared" si="8"/>
        <v>GoldLuoyang Zijin Yinhui Metal Smelt Co Ltd</v>
      </c>
      <c r="K167" s="231" t="str">
        <f t="shared" si="9"/>
        <v>GoldLuoyang Zijin Yinhui Metal Smelt Co Ltd</v>
      </c>
    </row>
    <row r="168" spans="1:11">
      <c r="A168" s="209" t="s">
        <v>1098</v>
      </c>
      <c r="B168" s="209" t="s">
        <v>2460</v>
      </c>
      <c r="C168" s="209" t="s">
        <v>2460</v>
      </c>
      <c r="D168" s="209" t="s">
        <v>1065</v>
      </c>
      <c r="E168" s="209" t="s">
        <v>2461</v>
      </c>
      <c r="F168" s="283" t="s">
        <v>13177</v>
      </c>
      <c r="H168" s="209" t="s">
        <v>2462</v>
      </c>
      <c r="I168" s="209" t="s">
        <v>1640</v>
      </c>
      <c r="J168" s="231" t="str">
        <f t="shared" si="8"/>
        <v>GoldMarsam Metals</v>
      </c>
      <c r="K168" s="231" t="str">
        <f t="shared" si="9"/>
        <v>GoldMarsam Metals</v>
      </c>
    </row>
    <row r="169" spans="1:11">
      <c r="A169" s="209" t="s">
        <v>1098</v>
      </c>
      <c r="B169" s="209" t="s">
        <v>881</v>
      </c>
      <c r="C169" s="209" t="s">
        <v>881</v>
      </c>
      <c r="D169" s="209" t="s">
        <v>2384</v>
      </c>
      <c r="E169" s="209" t="s">
        <v>684</v>
      </c>
      <c r="F169" s="283" t="s">
        <v>13177</v>
      </c>
      <c r="H169" s="209" t="s">
        <v>1582</v>
      </c>
      <c r="I169" s="209" t="s">
        <v>1583</v>
      </c>
      <c r="J169" s="231" t="str">
        <f t="shared" si="8"/>
        <v>GoldMaterion</v>
      </c>
      <c r="K169" s="231" t="str">
        <f t="shared" si="9"/>
        <v>GoldMaterion</v>
      </c>
    </row>
    <row r="170" spans="1:11">
      <c r="A170" s="209" t="s">
        <v>1098</v>
      </c>
      <c r="B170" s="209" t="s">
        <v>53</v>
      </c>
      <c r="C170" s="209" t="s">
        <v>53</v>
      </c>
      <c r="D170" s="209" t="s">
        <v>1077</v>
      </c>
      <c r="E170" s="209" t="s">
        <v>685</v>
      </c>
      <c r="F170" s="283" t="s">
        <v>13177</v>
      </c>
      <c r="H170" s="209" t="s">
        <v>1584</v>
      </c>
      <c r="I170" s="209" t="s">
        <v>1547</v>
      </c>
      <c r="J170" s="231" t="str">
        <f t="shared" si="8"/>
        <v>GoldMatsuda Sangyo Co., Ltd.</v>
      </c>
      <c r="K170" s="231" t="str">
        <f t="shared" si="9"/>
        <v>GoldMatsuda Sangyo Co., Ltd.</v>
      </c>
    </row>
    <row r="171" spans="1:11">
      <c r="A171" s="209" t="s">
        <v>1098</v>
      </c>
      <c r="B171" s="209" t="s">
        <v>14933</v>
      </c>
      <c r="C171" s="209" t="s">
        <v>14933</v>
      </c>
      <c r="D171" s="209" t="s">
        <v>1075</v>
      </c>
      <c r="E171" s="209" t="s">
        <v>14934</v>
      </c>
      <c r="F171" s="283" t="s">
        <v>13177</v>
      </c>
      <c r="H171" s="209" t="s">
        <v>14981</v>
      </c>
      <c r="I171" s="209" t="s">
        <v>15390</v>
      </c>
      <c r="J171" s="231" t="str">
        <f t="shared" si="8"/>
        <v>GoldMD Overseas</v>
      </c>
      <c r="K171" s="231" t="str">
        <f t="shared" si="9"/>
        <v>GoldMD Overseas</v>
      </c>
    </row>
    <row r="172" spans="1:11">
      <c r="A172" s="209" t="s">
        <v>1098</v>
      </c>
      <c r="B172" s="209" t="s">
        <v>25</v>
      </c>
      <c r="C172" s="209" t="s">
        <v>54</v>
      </c>
      <c r="D172" s="209" t="s">
        <v>1077</v>
      </c>
      <c r="E172" s="209" t="s">
        <v>712</v>
      </c>
      <c r="F172" s="283" t="s">
        <v>13177</v>
      </c>
      <c r="H172" s="209" t="s">
        <v>1628</v>
      </c>
      <c r="I172" s="209" t="s">
        <v>2165</v>
      </c>
      <c r="J172" s="231" t="str">
        <f t="shared" si="8"/>
        <v>GoldMEM(Sumitomo Group)</v>
      </c>
      <c r="K172" s="231" t="str">
        <f t="shared" si="9"/>
        <v>GoldMEM(Sumitomo Group)</v>
      </c>
    </row>
    <row r="173" spans="1:11">
      <c r="A173" s="209" t="s">
        <v>1098</v>
      </c>
      <c r="B173" s="209" t="s">
        <v>14935</v>
      </c>
      <c r="C173" s="209" t="s">
        <v>14935</v>
      </c>
      <c r="D173" s="209" t="s">
        <v>864</v>
      </c>
      <c r="E173" s="209" t="s">
        <v>14936</v>
      </c>
      <c r="F173" s="283" t="s">
        <v>13177</v>
      </c>
      <c r="H173" s="209" t="s">
        <v>15289</v>
      </c>
      <c r="I173" s="209" t="s">
        <v>1610</v>
      </c>
      <c r="J173" s="231" t="str">
        <f t="shared" si="8"/>
        <v>GoldMetal Concentrators SA (Pty) Ltd.</v>
      </c>
      <c r="K173" s="231" t="str">
        <f t="shared" si="9"/>
        <v>GoldMetal Concentrators SA (Pty) Ltd.</v>
      </c>
    </row>
    <row r="174" spans="1:11">
      <c r="A174" s="209" t="s">
        <v>1098</v>
      </c>
      <c r="B174" s="209" t="s">
        <v>2258</v>
      </c>
      <c r="C174" s="209" t="s">
        <v>12376</v>
      </c>
      <c r="D174" s="209" t="s">
        <v>1082</v>
      </c>
      <c r="E174" s="209" t="s">
        <v>690</v>
      </c>
      <c r="F174" s="283" t="s">
        <v>13177</v>
      </c>
      <c r="H174" s="209" t="s">
        <v>1592</v>
      </c>
      <c r="I174" s="209" t="s">
        <v>12832</v>
      </c>
      <c r="J174" s="231" t="str">
        <f t="shared" si="8"/>
        <v>GoldMetal?rgica Met-Mex Pe?oles, S.A. de C.V</v>
      </c>
      <c r="K174" s="231" t="str">
        <f t="shared" si="9"/>
        <v>GoldMetal?rgica Met-Mex Pe?oles, S.A. de C.V</v>
      </c>
    </row>
    <row r="175" spans="1:11">
      <c r="A175" s="209" t="s">
        <v>1098</v>
      </c>
      <c r="B175" s="209" t="s">
        <v>14937</v>
      </c>
      <c r="C175" s="209" t="s">
        <v>14937</v>
      </c>
      <c r="D175" s="209" t="s">
        <v>2384</v>
      </c>
      <c r="E175" s="209" t="s">
        <v>14938</v>
      </c>
      <c r="F175" s="283" t="s">
        <v>13177</v>
      </c>
      <c r="H175" s="209" t="s">
        <v>14982</v>
      </c>
      <c r="I175" s="209" t="s">
        <v>1703</v>
      </c>
      <c r="J175" s="231" t="str">
        <f t="shared" si="8"/>
        <v>GoldMetallix Refining Inc.</v>
      </c>
      <c r="K175" s="231" t="str">
        <f t="shared" si="9"/>
        <v>GoldMetallix Refining Inc.</v>
      </c>
    </row>
    <row r="176" spans="1:11">
      <c r="A176" s="209" t="s">
        <v>1098</v>
      </c>
      <c r="B176" s="209" t="s">
        <v>2463</v>
      </c>
      <c r="C176" s="209" t="s">
        <v>2283</v>
      </c>
      <c r="D176" s="209" t="s">
        <v>1064</v>
      </c>
      <c r="E176" s="209" t="s">
        <v>719</v>
      </c>
      <c r="F176" s="283" t="s">
        <v>13177</v>
      </c>
      <c r="H176" s="209" t="s">
        <v>1641</v>
      </c>
      <c r="I176" s="209" t="s">
        <v>3104</v>
      </c>
      <c r="J176" s="231" t="str">
        <f t="shared" si="8"/>
        <v>GoldMetallurgie Hoboken Overpelt</v>
      </c>
      <c r="K176" s="231" t="str">
        <f t="shared" si="9"/>
        <v>GoldMetallurgie Hoboken Overpelt</v>
      </c>
    </row>
    <row r="177" spans="1:11">
      <c r="A177" s="209" t="s">
        <v>1098</v>
      </c>
      <c r="B177" s="209" t="s">
        <v>1134</v>
      </c>
      <c r="C177" s="209" t="s">
        <v>2257</v>
      </c>
      <c r="D177" s="209" t="s">
        <v>1067</v>
      </c>
      <c r="E177" s="209" t="s">
        <v>688</v>
      </c>
      <c r="F177" s="283" t="s">
        <v>13177</v>
      </c>
      <c r="H177" s="209" t="s">
        <v>1588</v>
      </c>
      <c r="I177" s="209" t="s">
        <v>1589</v>
      </c>
      <c r="J177" s="231" t="str">
        <f t="shared" si="8"/>
        <v>GoldMetalor Switzerland</v>
      </c>
      <c r="K177" s="231" t="str">
        <f t="shared" si="9"/>
        <v>GoldMetalor Switzerland</v>
      </c>
    </row>
    <row r="178" spans="1:11">
      <c r="A178" s="209" t="s">
        <v>1098</v>
      </c>
      <c r="B178" s="209" t="s">
        <v>2105</v>
      </c>
      <c r="C178" s="209" t="s">
        <v>2105</v>
      </c>
      <c r="D178" s="209" t="s">
        <v>1069</v>
      </c>
      <c r="E178" s="209" t="s">
        <v>686</v>
      </c>
      <c r="F178" s="283" t="s">
        <v>13177</v>
      </c>
      <c r="H178" s="209" t="s">
        <v>1587</v>
      </c>
      <c r="I178" s="209" t="s">
        <v>15604</v>
      </c>
      <c r="J178" s="231" t="str">
        <f t="shared" si="8"/>
        <v>GoldMetalor Technologies (Hong Kong) Ltd.</v>
      </c>
      <c r="K178" s="231" t="str">
        <f t="shared" si="9"/>
        <v>GoldMetalor Technologies (Hong Kong) Ltd.</v>
      </c>
    </row>
    <row r="179" spans="1:11">
      <c r="A179" s="209" t="s">
        <v>1098</v>
      </c>
      <c r="B179" s="209" t="s">
        <v>2106</v>
      </c>
      <c r="C179" s="209" t="s">
        <v>2106</v>
      </c>
      <c r="D179" s="209" t="s">
        <v>857</v>
      </c>
      <c r="E179" s="209" t="s">
        <v>687</v>
      </c>
      <c r="F179" s="283" t="s">
        <v>13177</v>
      </c>
      <c r="H179" s="209" t="s">
        <v>12670</v>
      </c>
      <c r="I179" s="209" t="s">
        <v>10242</v>
      </c>
      <c r="J179" s="231" t="str">
        <f t="shared" si="8"/>
        <v>GoldMetalor Technologies (Singapore) Pte., Ltd.</v>
      </c>
      <c r="K179" s="231" t="str">
        <f t="shared" si="9"/>
        <v>GoldMetalor Technologies (Singapore) Pte., Ltd.</v>
      </c>
    </row>
    <row r="180" spans="1:11">
      <c r="A180" s="209" t="s">
        <v>1098</v>
      </c>
      <c r="B180" s="209" t="s">
        <v>1585</v>
      </c>
      <c r="C180" s="209" t="s">
        <v>1585</v>
      </c>
      <c r="D180" s="209" t="s">
        <v>1069</v>
      </c>
      <c r="E180" s="209" t="s">
        <v>1586</v>
      </c>
      <c r="F180" s="283" t="s">
        <v>13177</v>
      </c>
      <c r="H180" s="209" t="s">
        <v>2464</v>
      </c>
      <c r="I180" s="209" t="s">
        <v>13544</v>
      </c>
      <c r="J180" s="231" t="str">
        <f t="shared" si="8"/>
        <v>GoldMetalor Technologies (Suzhou) Ltd.</v>
      </c>
      <c r="K180" s="231" t="str">
        <f t="shared" si="9"/>
        <v>GoldMetalor Technologies (Suzhou) Ltd.</v>
      </c>
    </row>
    <row r="181" spans="1:11">
      <c r="A181" s="209" t="s">
        <v>1098</v>
      </c>
      <c r="B181" s="209" t="s">
        <v>2257</v>
      </c>
      <c r="C181" s="209" t="s">
        <v>2257</v>
      </c>
      <c r="D181" s="209" t="s">
        <v>1067</v>
      </c>
      <c r="E181" s="209" t="s">
        <v>688</v>
      </c>
      <c r="F181" s="283" t="s">
        <v>13177</v>
      </c>
      <c r="H181" s="209" t="s">
        <v>1588</v>
      </c>
      <c r="I181" s="209" t="s">
        <v>1589</v>
      </c>
      <c r="J181" s="231" t="str">
        <f t="shared" si="8"/>
        <v>GoldMetalor Technologies S.A.</v>
      </c>
      <c r="K181" s="231" t="str">
        <f t="shared" si="9"/>
        <v>GoldMetalor Technologies S.A.</v>
      </c>
    </row>
    <row r="182" spans="1:11">
      <c r="A182" s="209" t="s">
        <v>1098</v>
      </c>
      <c r="B182" s="209" t="s">
        <v>1195</v>
      </c>
      <c r="C182" s="209" t="s">
        <v>1195</v>
      </c>
      <c r="D182" s="209" t="s">
        <v>2384</v>
      </c>
      <c r="E182" s="209" t="s">
        <v>689</v>
      </c>
      <c r="F182" s="283" t="s">
        <v>13177</v>
      </c>
      <c r="H182" s="209" t="s">
        <v>1590</v>
      </c>
      <c r="I182" s="209" t="s">
        <v>1591</v>
      </c>
      <c r="J182" s="231" t="str">
        <f t="shared" si="8"/>
        <v>GoldMetalor USA Refining Corporation</v>
      </c>
      <c r="K182" s="231" t="str">
        <f t="shared" si="9"/>
        <v>GoldMetalor USA Refining Corporation</v>
      </c>
    </row>
    <row r="183" spans="1:11">
      <c r="A183" s="209" t="s">
        <v>1098</v>
      </c>
      <c r="B183" s="209" t="s">
        <v>12376</v>
      </c>
      <c r="C183" s="209" t="s">
        <v>12376</v>
      </c>
      <c r="D183" s="209" t="s">
        <v>1082</v>
      </c>
      <c r="E183" s="209" t="s">
        <v>690</v>
      </c>
      <c r="F183" s="283" t="s">
        <v>13177</v>
      </c>
      <c r="H183" s="209" t="s">
        <v>1592</v>
      </c>
      <c r="I183" s="209" t="s">
        <v>12832</v>
      </c>
      <c r="J183" s="231" t="str">
        <f t="shared" si="8"/>
        <v>GoldMetalurgica Met-Mex Penoles S.A. De C.V.</v>
      </c>
      <c r="K183" s="231" t="str">
        <f t="shared" si="9"/>
        <v>GoldMetalurgica Met-Mex Penoles S.A. De C.V.</v>
      </c>
    </row>
    <row r="184" spans="1:11">
      <c r="A184" s="209" t="s">
        <v>1098</v>
      </c>
      <c r="B184" s="209" t="s">
        <v>2259</v>
      </c>
      <c r="C184" s="209" t="s">
        <v>12376</v>
      </c>
      <c r="D184" s="209" t="s">
        <v>1082</v>
      </c>
      <c r="E184" s="209" t="s">
        <v>690</v>
      </c>
      <c r="F184" s="283" t="s">
        <v>13177</v>
      </c>
      <c r="H184" s="209" t="s">
        <v>1592</v>
      </c>
      <c r="I184" s="209" t="s">
        <v>12832</v>
      </c>
      <c r="J184" s="231" t="str">
        <f t="shared" si="8"/>
        <v>GoldMetalúrgica Met-Mex Peñoles S.A. De C.V.</v>
      </c>
      <c r="K184" s="231" t="str">
        <f t="shared" si="9"/>
        <v>GoldMetalúrgica Met-Mex Peñoles S.A. De C.V.</v>
      </c>
    </row>
    <row r="185" spans="1:11">
      <c r="A185" s="209" t="s">
        <v>1098</v>
      </c>
      <c r="B185" s="209" t="s">
        <v>2260</v>
      </c>
      <c r="C185" s="209" t="s">
        <v>12376</v>
      </c>
      <c r="D185" s="209" t="s">
        <v>1082</v>
      </c>
      <c r="E185" s="209" t="s">
        <v>690</v>
      </c>
      <c r="F185" s="283" t="s">
        <v>13177</v>
      </c>
      <c r="H185" s="209" t="s">
        <v>1592</v>
      </c>
      <c r="I185" s="209" t="s">
        <v>12832</v>
      </c>
      <c r="J185" s="231" t="str">
        <f t="shared" si="8"/>
        <v>GoldMet-Mex Pe?oles, S.A.</v>
      </c>
      <c r="K185" s="231" t="str">
        <f t="shared" si="9"/>
        <v>GoldMet-Mex Pe?oles, S.A.</v>
      </c>
    </row>
    <row r="186" spans="1:11">
      <c r="A186" s="209" t="s">
        <v>1098</v>
      </c>
      <c r="B186" s="209" t="s">
        <v>2094</v>
      </c>
      <c r="C186" s="209" t="s">
        <v>12376</v>
      </c>
      <c r="D186" s="209" t="s">
        <v>1082</v>
      </c>
      <c r="E186" s="209" t="s">
        <v>690</v>
      </c>
      <c r="F186" s="283" t="s">
        <v>13177</v>
      </c>
      <c r="H186" s="209" t="s">
        <v>1592</v>
      </c>
      <c r="I186" s="209" t="s">
        <v>12832</v>
      </c>
      <c r="J186" s="231" t="str">
        <f t="shared" si="8"/>
        <v>GoldMet-Mex Penoles, S.A.</v>
      </c>
      <c r="K186" s="231" t="str">
        <f t="shared" si="9"/>
        <v>GoldMet-Mex Penoles, S.A.</v>
      </c>
    </row>
    <row r="187" spans="1:11">
      <c r="A187" s="209" t="s">
        <v>1098</v>
      </c>
      <c r="B187" s="209" t="s">
        <v>15674</v>
      </c>
      <c r="C187" s="209" t="s">
        <v>15674</v>
      </c>
      <c r="D187" s="209" t="s">
        <v>851</v>
      </c>
      <c r="E187" s="209" t="s">
        <v>15675</v>
      </c>
      <c r="F187" s="283" t="s">
        <v>13177</v>
      </c>
      <c r="H187" s="209" t="s">
        <v>15682</v>
      </c>
      <c r="I187" s="209" t="s">
        <v>9078</v>
      </c>
      <c r="J187" s="231" t="str">
        <f t="shared" si="8"/>
        <v>GoldMinera Titan del Peru SRL (MTP) - Belen Plant</v>
      </c>
      <c r="K187" s="231" t="str">
        <f t="shared" si="9"/>
        <v>GoldMinera Titan del Peru SRL (MTP) - Belen Plant</v>
      </c>
    </row>
    <row r="188" spans="1:11">
      <c r="A188" s="209" t="s">
        <v>1098</v>
      </c>
      <c r="B188" s="209" t="s">
        <v>15676</v>
      </c>
      <c r="C188" s="209" t="s">
        <v>15674</v>
      </c>
      <c r="D188" s="209" t="s">
        <v>851</v>
      </c>
      <c r="E188" s="209" t="s">
        <v>15675</v>
      </c>
      <c r="F188" s="283" t="s">
        <v>13177</v>
      </c>
      <c r="H188" s="209" t="s">
        <v>15682</v>
      </c>
      <c r="I188" s="209" t="s">
        <v>9078</v>
      </c>
      <c r="J188" s="231" t="str">
        <f t="shared" si="8"/>
        <v>GoldMinera Titán del Perú SRL (MTP) - Belen Plant</v>
      </c>
      <c r="K188" s="231" t="str">
        <f t="shared" si="9"/>
        <v>GoldMinera Titán del Perú SRL (MTP) - Belen Plant</v>
      </c>
    </row>
    <row r="189" spans="1:11">
      <c r="A189" s="209" t="s">
        <v>1098</v>
      </c>
      <c r="B189" s="209" t="s">
        <v>1131</v>
      </c>
      <c r="C189" s="209" t="s">
        <v>1131</v>
      </c>
      <c r="D189" s="209" t="s">
        <v>1077</v>
      </c>
      <c r="E189" s="209" t="s">
        <v>691</v>
      </c>
      <c r="F189" s="283" t="s">
        <v>13177</v>
      </c>
      <c r="H189" s="209" t="s">
        <v>1509</v>
      </c>
      <c r="I189" s="209" t="s">
        <v>1509</v>
      </c>
      <c r="J189" s="231" t="str">
        <f t="shared" si="8"/>
        <v>GoldMitsubishi Materials Corporation</v>
      </c>
      <c r="K189" s="231" t="str">
        <f t="shared" si="9"/>
        <v>GoldMitsubishi Materials Corporation</v>
      </c>
    </row>
    <row r="190" spans="1:11">
      <c r="A190" s="209" t="s">
        <v>1098</v>
      </c>
      <c r="B190" s="209" t="s">
        <v>1595</v>
      </c>
      <c r="C190" s="209" t="s">
        <v>1196</v>
      </c>
      <c r="D190" s="209" t="s">
        <v>1077</v>
      </c>
      <c r="E190" s="209" t="s">
        <v>692</v>
      </c>
      <c r="F190" s="283" t="s">
        <v>13177</v>
      </c>
      <c r="H190" s="209" t="s">
        <v>1594</v>
      </c>
      <c r="I190" s="209" t="s">
        <v>1593</v>
      </c>
      <c r="J190" s="231" t="str">
        <f t="shared" si="8"/>
        <v>GoldMitsui Kinzoku Co., Ltd.</v>
      </c>
      <c r="K190" s="231" t="str">
        <f t="shared" si="9"/>
        <v>GoldMitsui Kinzoku Co., Ltd.</v>
      </c>
    </row>
    <row r="191" spans="1:11">
      <c r="A191" s="209" t="s">
        <v>1098</v>
      </c>
      <c r="B191" s="209" t="s">
        <v>1196</v>
      </c>
      <c r="C191" s="209" t="s">
        <v>1196</v>
      </c>
      <c r="D191" s="209" t="s">
        <v>1077</v>
      </c>
      <c r="E191" s="209" t="s">
        <v>692</v>
      </c>
      <c r="F191" s="283" t="s">
        <v>13177</v>
      </c>
      <c r="H191" s="209" t="s">
        <v>1594</v>
      </c>
      <c r="I191" s="209" t="s">
        <v>1593</v>
      </c>
      <c r="J191" s="231" t="str">
        <f t="shared" si="8"/>
        <v>GoldMitsui Mining and Smelting Co., Ltd.</v>
      </c>
      <c r="K191" s="231" t="str">
        <f t="shared" si="9"/>
        <v>GoldMitsui Mining and Smelting Co., Ltd.</v>
      </c>
    </row>
    <row r="192" spans="1:11">
      <c r="A192" s="209" t="s">
        <v>1098</v>
      </c>
      <c r="B192" s="209" t="s">
        <v>15334</v>
      </c>
      <c r="C192" s="209" t="s">
        <v>15334</v>
      </c>
      <c r="D192" s="209" t="s">
        <v>1067</v>
      </c>
      <c r="E192" s="209" t="s">
        <v>699</v>
      </c>
      <c r="F192" s="283" t="s">
        <v>13177</v>
      </c>
      <c r="H192" s="209" t="s">
        <v>15337</v>
      </c>
      <c r="I192" s="209" t="s">
        <v>3741</v>
      </c>
      <c r="J192" s="231" t="str">
        <f t="shared" si="8"/>
        <v>GoldMKS PAMP SA</v>
      </c>
      <c r="K192" s="231" t="str">
        <f t="shared" si="9"/>
        <v>GoldMKS PAMP SA</v>
      </c>
    </row>
    <row r="193" spans="1:11">
      <c r="A193" s="209" t="s">
        <v>1098</v>
      </c>
      <c r="B193" s="209" t="s">
        <v>2124</v>
      </c>
      <c r="C193" s="209" t="s">
        <v>2124</v>
      </c>
      <c r="D193" s="209" t="s">
        <v>1075</v>
      </c>
      <c r="E193" s="209" t="s">
        <v>1356</v>
      </c>
      <c r="F193" s="283" t="s">
        <v>13177</v>
      </c>
      <c r="H193" s="209" t="s">
        <v>1659</v>
      </c>
      <c r="I193" s="209" t="s">
        <v>15382</v>
      </c>
      <c r="J193" s="231" t="str">
        <f t="shared" si="8"/>
        <v>GoldMMTC-PAMP India Pvt., Ltd.</v>
      </c>
      <c r="K193" s="231" t="str">
        <f t="shared" si="9"/>
        <v>GoldMMTC-PAMP India Pvt., Ltd.</v>
      </c>
    </row>
    <row r="194" spans="1:11">
      <c r="A194" s="209" t="s">
        <v>1098</v>
      </c>
      <c r="B194" s="209" t="s">
        <v>2262</v>
      </c>
      <c r="C194" s="209" t="s">
        <v>2262</v>
      </c>
      <c r="D194" s="209" t="s">
        <v>1084</v>
      </c>
      <c r="E194" s="209" t="s">
        <v>2263</v>
      </c>
      <c r="F194" s="283" t="s">
        <v>13177</v>
      </c>
      <c r="H194" s="209" t="s">
        <v>2299</v>
      </c>
      <c r="I194" s="209" t="s">
        <v>2300</v>
      </c>
      <c r="J194" s="231" t="str">
        <f t="shared" si="8"/>
        <v>GoldModeltech Sdn Bhd</v>
      </c>
      <c r="K194" s="231" t="str">
        <f t="shared" si="9"/>
        <v>GoldModeltech Sdn Bhd</v>
      </c>
    </row>
    <row r="195" spans="1:11">
      <c r="A195" s="209" t="s">
        <v>1098</v>
      </c>
      <c r="B195" s="209" t="s">
        <v>2160</v>
      </c>
      <c r="C195" s="209" t="s">
        <v>2160</v>
      </c>
      <c r="D195" s="209" t="s">
        <v>1086</v>
      </c>
      <c r="E195" s="209" t="s">
        <v>2161</v>
      </c>
      <c r="F195" s="283" t="s">
        <v>13177</v>
      </c>
      <c r="H195" s="209" t="s">
        <v>2264</v>
      </c>
      <c r="I195" s="209" t="s">
        <v>2162</v>
      </c>
      <c r="J195" s="231" t="str">
        <f t="shared" si="8"/>
        <v>GoldMorris and Watson</v>
      </c>
      <c r="K195" s="231" t="str">
        <f t="shared" si="9"/>
        <v>GoldMorris and Watson</v>
      </c>
    </row>
    <row r="196" spans="1:11">
      <c r="A196" s="209" t="s">
        <v>1098</v>
      </c>
      <c r="B196" s="209" t="s">
        <v>882</v>
      </c>
      <c r="C196" s="209" t="s">
        <v>882</v>
      </c>
      <c r="D196" s="209" t="s">
        <v>854</v>
      </c>
      <c r="E196" s="209" t="s">
        <v>693</v>
      </c>
      <c r="F196" s="283" t="s">
        <v>13177</v>
      </c>
      <c r="H196" s="209" t="s">
        <v>1596</v>
      </c>
      <c r="I196" s="209" t="s">
        <v>9839</v>
      </c>
      <c r="J196" s="231" t="str">
        <f t="shared" si="8"/>
        <v>GoldMoscow Special Alloys Processing Plant</v>
      </c>
      <c r="K196" s="231" t="str">
        <f t="shared" si="9"/>
        <v>GoldMoscow Special Alloys Processing Plant</v>
      </c>
    </row>
    <row r="197" spans="1:11">
      <c r="A197" s="209" t="s">
        <v>1098</v>
      </c>
      <c r="B197" s="209" t="s">
        <v>12378</v>
      </c>
      <c r="C197" s="209" t="s">
        <v>12378</v>
      </c>
      <c r="D197" s="209" t="s">
        <v>860</v>
      </c>
      <c r="E197" s="209" t="s">
        <v>694</v>
      </c>
      <c r="F197" s="283" t="s">
        <v>13177</v>
      </c>
      <c r="H197" s="209" t="s">
        <v>1597</v>
      </c>
      <c r="I197" s="209" t="s">
        <v>11215</v>
      </c>
      <c r="J197" s="231" t="str">
        <f t="shared" si="8"/>
        <v>GoldNadir Metal Rafineri San. Ve Tic. A.S.</v>
      </c>
      <c r="K197" s="231" t="str">
        <f t="shared" si="9"/>
        <v>GoldNadir Metal Rafineri San. Ve Tic. A.S.</v>
      </c>
    </row>
    <row r="198" spans="1:11">
      <c r="A198" s="209" t="s">
        <v>1098</v>
      </c>
      <c r="B198" s="209" t="s">
        <v>1202</v>
      </c>
      <c r="C198" s="209" t="s">
        <v>12378</v>
      </c>
      <c r="D198" s="209" t="s">
        <v>860</v>
      </c>
      <c r="E198" s="209" t="s">
        <v>694</v>
      </c>
      <c r="F198" s="283" t="s">
        <v>13177</v>
      </c>
      <c r="H198" s="209" t="s">
        <v>1597</v>
      </c>
      <c r="I198" s="209" t="s">
        <v>11215</v>
      </c>
      <c r="J198" s="231" t="str">
        <f t="shared" si="8"/>
        <v>GoldNadir Metal Rafineri San. Ve Tic. A.Ş.</v>
      </c>
      <c r="K198" s="231" t="str">
        <f t="shared" si="9"/>
        <v>GoldNadir Metal Rafineri San. Ve Tic. A.Ş.</v>
      </c>
    </row>
    <row r="199" spans="1:11">
      <c r="A199" s="209" t="s">
        <v>1098</v>
      </c>
      <c r="B199" s="209" t="s">
        <v>1197</v>
      </c>
      <c r="C199" s="209" t="s">
        <v>1197</v>
      </c>
      <c r="D199" s="209" t="s">
        <v>862</v>
      </c>
      <c r="E199" s="209" t="s">
        <v>695</v>
      </c>
      <c r="F199" s="283" t="s">
        <v>13177</v>
      </c>
      <c r="H199" s="209" t="s">
        <v>1598</v>
      </c>
      <c r="I199" s="209" t="s">
        <v>11966</v>
      </c>
      <c r="J199" s="231" t="str">
        <f t="shared" si="8"/>
        <v>GoldNavoi Mining and Metallurgical Combinat</v>
      </c>
      <c r="K199" s="231" t="str">
        <f t="shared" si="9"/>
        <v>GoldNavoi Mining and Metallurgical Combinat</v>
      </c>
    </row>
    <row r="200" spans="1:11">
      <c r="A200" s="209" t="s">
        <v>1098</v>
      </c>
      <c r="B200" s="209" t="s">
        <v>12867</v>
      </c>
      <c r="C200" s="209" t="s">
        <v>12867</v>
      </c>
      <c r="D200" s="209" t="s">
        <v>1080</v>
      </c>
      <c r="E200" s="209" t="s">
        <v>12868</v>
      </c>
      <c r="F200" s="283" t="s">
        <v>13177</v>
      </c>
      <c r="H200" s="209" t="s">
        <v>12884</v>
      </c>
      <c r="I200" s="209" t="s">
        <v>12818</v>
      </c>
      <c r="J200" s="231" t="str">
        <f t="shared" si="8"/>
        <v>GoldNH Recytech Company</v>
      </c>
      <c r="K200" s="231" t="str">
        <f t="shared" si="9"/>
        <v>GoldNH Recytech Company</v>
      </c>
    </row>
    <row r="201" spans="1:11">
      <c r="A201" s="209" t="s">
        <v>1098</v>
      </c>
      <c r="B201" s="209" t="s">
        <v>2109</v>
      </c>
      <c r="C201" s="209" t="s">
        <v>2109</v>
      </c>
      <c r="D201" s="209" t="s">
        <v>1077</v>
      </c>
      <c r="E201" s="209" t="s">
        <v>696</v>
      </c>
      <c r="F201" s="283" t="s">
        <v>13177</v>
      </c>
      <c r="H201" s="209" t="s">
        <v>1599</v>
      </c>
      <c r="I201" s="209" t="s">
        <v>1600</v>
      </c>
      <c r="J201" s="231" t="str">
        <f t="shared" si="8"/>
        <v>GoldNihon Material Co., Ltd.</v>
      </c>
      <c r="K201" s="231" t="str">
        <f t="shared" si="9"/>
        <v>GoldNihon Material Co., Ltd.</v>
      </c>
    </row>
    <row r="202" spans="1:11">
      <c r="A202" s="209" t="s">
        <v>1098</v>
      </c>
      <c r="B202" s="209" t="s">
        <v>15611</v>
      </c>
      <c r="C202" s="209" t="s">
        <v>15611</v>
      </c>
      <c r="D202" s="209" t="s">
        <v>2384</v>
      </c>
      <c r="E202" s="209" t="s">
        <v>15612</v>
      </c>
      <c r="F202" s="283" t="s">
        <v>13177</v>
      </c>
      <c r="H202" s="209" t="s">
        <v>15613</v>
      </c>
      <c r="I202" s="209" t="s">
        <v>1507</v>
      </c>
      <c r="J202" s="231" t="str">
        <f t="shared" si="8"/>
        <v>GoldNOBLE METAL SERVICES</v>
      </c>
      <c r="K202" s="231" t="str">
        <f t="shared" si="9"/>
        <v>GoldNOBLE METAL SERVICES</v>
      </c>
    </row>
    <row r="203" spans="1:11">
      <c r="A203" s="209" t="s">
        <v>1098</v>
      </c>
      <c r="B203" s="209" t="s">
        <v>15290</v>
      </c>
      <c r="C203" s="209" t="s">
        <v>2109</v>
      </c>
      <c r="D203" s="209" t="s">
        <v>1077</v>
      </c>
      <c r="E203" s="209" t="s">
        <v>696</v>
      </c>
      <c r="F203" s="283" t="s">
        <v>13177</v>
      </c>
      <c r="H203" s="209" t="s">
        <v>1599</v>
      </c>
      <c r="I203" s="209" t="s">
        <v>1600</v>
      </c>
      <c r="J203" s="231" t="str">
        <f t="shared" si="8"/>
        <v>GoldNohon Material Corporation</v>
      </c>
      <c r="K203" s="231" t="str">
        <f t="shared" si="9"/>
        <v>GoldNohon Material Corporation</v>
      </c>
    </row>
    <row r="204" spans="1:11">
      <c r="A204" s="209" t="s">
        <v>1098</v>
      </c>
      <c r="B204" s="209" t="s">
        <v>1524</v>
      </c>
      <c r="C204" s="209" t="s">
        <v>1191</v>
      </c>
      <c r="D204" s="209" t="s">
        <v>1070</v>
      </c>
      <c r="E204" s="209" t="s">
        <v>641</v>
      </c>
      <c r="F204" s="283" t="s">
        <v>13177</v>
      </c>
      <c r="H204" s="209" t="s">
        <v>1523</v>
      </c>
      <c r="I204" s="209" t="s">
        <v>1523</v>
      </c>
      <c r="J204" s="231" t="str">
        <f t="shared" si="8"/>
        <v>GoldNorddeutsche Affinererie AG</v>
      </c>
      <c r="K204" s="231" t="str">
        <f t="shared" si="9"/>
        <v>GoldNorddeutsche Affinererie AG</v>
      </c>
    </row>
    <row r="205" spans="1:11">
      <c r="A205" s="209" t="s">
        <v>1098</v>
      </c>
      <c r="B205" s="209" t="s">
        <v>12382</v>
      </c>
      <c r="C205" s="209" t="s">
        <v>12382</v>
      </c>
      <c r="D205" s="209" t="s">
        <v>1063</v>
      </c>
      <c r="E205" s="209" t="s">
        <v>2158</v>
      </c>
      <c r="F205" s="283"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c r="A206" s="209" t="s">
        <v>1098</v>
      </c>
      <c r="B206" s="209" t="s">
        <v>2156</v>
      </c>
      <c r="C206" s="209" t="s">
        <v>12382</v>
      </c>
      <c r="D206" s="209" t="s">
        <v>1063</v>
      </c>
      <c r="E206" s="209" t="s">
        <v>2158</v>
      </c>
      <c r="F206" s="283"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c r="A207" s="209" t="s">
        <v>1098</v>
      </c>
      <c r="B207" s="209" t="s">
        <v>2110</v>
      </c>
      <c r="C207" s="209" t="s">
        <v>2110</v>
      </c>
      <c r="D207" s="209" t="s">
        <v>1077</v>
      </c>
      <c r="E207" s="209" t="s">
        <v>697</v>
      </c>
      <c r="F207" s="283" t="s">
        <v>13177</v>
      </c>
      <c r="H207" s="209" t="s">
        <v>1602</v>
      </c>
      <c r="I207" s="209" t="s">
        <v>1603</v>
      </c>
      <c r="J207" s="231" t="str">
        <f t="shared" si="8"/>
        <v>GoldOhura Precious Metal Industry Co., Ltd.</v>
      </c>
      <c r="K207" s="231" t="str">
        <f t="shared" si="9"/>
        <v>GoldOhura Precious Metal Industry Co., Ltd.</v>
      </c>
    </row>
    <row r="208" spans="1:11">
      <c r="A208" s="209" t="s">
        <v>1098</v>
      </c>
      <c r="B208" s="209" t="s">
        <v>2209</v>
      </c>
      <c r="C208" s="209" t="s">
        <v>2209</v>
      </c>
      <c r="D208" s="209" t="s">
        <v>854</v>
      </c>
      <c r="E208" s="209" t="s">
        <v>698</v>
      </c>
      <c r="F208" s="283"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c r="A209" s="209" t="s">
        <v>1098</v>
      </c>
      <c r="B209" s="209" t="s">
        <v>1605</v>
      </c>
      <c r="C209" s="209" t="s">
        <v>2209</v>
      </c>
      <c r="D209" s="209" t="s">
        <v>854</v>
      </c>
      <c r="E209" s="209" t="s">
        <v>698</v>
      </c>
      <c r="F209" s="283" t="s">
        <v>13177</v>
      </c>
      <c r="H209" s="209" t="s">
        <v>1604</v>
      </c>
      <c r="I209" s="209" t="s">
        <v>9982</v>
      </c>
      <c r="J209" s="231" t="str">
        <f t="shared" si="8"/>
        <v>GoldOJSC Krastsvetmet</v>
      </c>
      <c r="K209" s="231" t="str">
        <f t="shared" si="9"/>
        <v>GoldOJSC Krastsvetmet</v>
      </c>
    </row>
    <row r="210" spans="1:11">
      <c r="A210" s="209" t="s">
        <v>1098</v>
      </c>
      <c r="B210" s="209" t="s">
        <v>2152</v>
      </c>
      <c r="C210" s="209" t="s">
        <v>14927</v>
      </c>
      <c r="D210" s="209" t="s">
        <v>854</v>
      </c>
      <c r="E210" s="209" t="s">
        <v>655</v>
      </c>
      <c r="F210" s="283" t="s">
        <v>13177</v>
      </c>
      <c r="H210" s="209" t="s">
        <v>1548</v>
      </c>
      <c r="I210" s="209" t="s">
        <v>9952</v>
      </c>
      <c r="J210" s="231" t="str">
        <f t="shared" si="8"/>
        <v>GoldOJSC Novosibirsk Refinery</v>
      </c>
      <c r="K210" s="231" t="str">
        <f t="shared" si="9"/>
        <v>GoldOJSC Novosibirsk Refinery</v>
      </c>
    </row>
    <row r="211" spans="1:11">
      <c r="A211" s="209" t="s">
        <v>1098</v>
      </c>
      <c r="B211" s="209" t="s">
        <v>2265</v>
      </c>
      <c r="C211" s="209" t="s">
        <v>15334</v>
      </c>
      <c r="D211" s="209" t="s">
        <v>1067</v>
      </c>
      <c r="E211" s="209" t="s">
        <v>699</v>
      </c>
      <c r="F211" s="283" t="s">
        <v>13177</v>
      </c>
      <c r="H211" s="209" t="s">
        <v>15337</v>
      </c>
      <c r="I211" s="209" t="s">
        <v>3741</v>
      </c>
      <c r="J211" s="231" t="str">
        <f t="shared" ref="J211:J274" si="10">A211&amp;B211</f>
        <v>GoldPAMP S.A.</v>
      </c>
      <c r="K211" s="231" t="str">
        <f t="shared" ref="K211:K274" si="11">A211&amp;B211</f>
        <v>GoldPAMP S.A.</v>
      </c>
    </row>
    <row r="212" spans="1:11">
      <c r="A212" s="209" t="s">
        <v>1098</v>
      </c>
      <c r="B212" s="209" t="s">
        <v>2173</v>
      </c>
      <c r="C212" s="209" t="s">
        <v>52</v>
      </c>
      <c r="D212" s="209" t="s">
        <v>1077</v>
      </c>
      <c r="E212" s="209" t="s">
        <v>673</v>
      </c>
      <c r="F212" s="283" t="s">
        <v>13177</v>
      </c>
      <c r="H212" s="209" t="s">
        <v>2314</v>
      </c>
      <c r="I212" s="209" t="s">
        <v>6611</v>
      </c>
      <c r="J212" s="231" t="str">
        <f t="shared" si="10"/>
        <v>GoldPan Pacific Copper Co Ltd.</v>
      </c>
      <c r="K212" s="231" t="str">
        <f t="shared" si="11"/>
        <v>GoldPan Pacific Copper Co Ltd.</v>
      </c>
    </row>
    <row r="213" spans="1:11">
      <c r="A213" s="209" t="s">
        <v>1098</v>
      </c>
      <c r="B213" s="209" t="s">
        <v>2393</v>
      </c>
      <c r="C213" s="209" t="s">
        <v>2393</v>
      </c>
      <c r="D213" s="209" t="s">
        <v>2384</v>
      </c>
      <c r="E213" s="209" t="s">
        <v>2394</v>
      </c>
      <c r="F213" s="283" t="s">
        <v>13177</v>
      </c>
      <c r="H213" s="209" t="s">
        <v>1506</v>
      </c>
      <c r="I213" s="209" t="s">
        <v>1507</v>
      </c>
      <c r="J213" s="231" t="str">
        <f t="shared" si="10"/>
        <v>GoldPease &amp; Curren</v>
      </c>
      <c r="K213" s="231" t="str">
        <f t="shared" si="11"/>
        <v>GoldPease &amp; Curren</v>
      </c>
    </row>
    <row r="214" spans="1:11">
      <c r="A214" s="209" t="s">
        <v>1098</v>
      </c>
      <c r="B214" s="209" t="s">
        <v>2111</v>
      </c>
      <c r="C214" s="209" t="s">
        <v>2111</v>
      </c>
      <c r="D214" s="209" t="s">
        <v>1069</v>
      </c>
      <c r="E214" s="209" t="s">
        <v>700</v>
      </c>
      <c r="F214" s="283" t="s">
        <v>13177</v>
      </c>
      <c r="H214" s="209" t="s">
        <v>2430</v>
      </c>
      <c r="I214" s="209" t="s">
        <v>13532</v>
      </c>
      <c r="J214" s="231" t="str">
        <f t="shared" si="10"/>
        <v>GoldPenglai Penggang Gold Industry Co., Ltd.</v>
      </c>
      <c r="K214" s="231" t="str">
        <f t="shared" si="11"/>
        <v>GoldPenglai Penggang Gold Industry Co., Ltd.</v>
      </c>
    </row>
    <row r="215" spans="1:11">
      <c r="A215" s="209" t="s">
        <v>1098</v>
      </c>
      <c r="B215" s="209" t="s">
        <v>2174</v>
      </c>
      <c r="C215" s="209" t="s">
        <v>2440</v>
      </c>
      <c r="D215" s="209" t="s">
        <v>1062</v>
      </c>
      <c r="E215" s="209" t="s">
        <v>722</v>
      </c>
      <c r="F215" s="283" t="s">
        <v>13177</v>
      </c>
      <c r="H215" s="209" t="s">
        <v>1645</v>
      </c>
      <c r="I215" s="209" t="s">
        <v>1646</v>
      </c>
      <c r="J215" s="231" t="str">
        <f t="shared" si="10"/>
        <v>GoldPerth Mint</v>
      </c>
      <c r="K215" s="231" t="str">
        <f t="shared" si="11"/>
        <v>GoldPerth Mint</v>
      </c>
    </row>
    <row r="216" spans="1:11">
      <c r="A216" s="209" t="s">
        <v>1098</v>
      </c>
      <c r="B216" s="209" t="s">
        <v>1649</v>
      </c>
      <c r="C216" s="209" t="s">
        <v>2440</v>
      </c>
      <c r="D216" s="209" t="s">
        <v>1062</v>
      </c>
      <c r="E216" s="209" t="s">
        <v>722</v>
      </c>
      <c r="F216" s="283" t="s">
        <v>13177</v>
      </c>
      <c r="H216" s="209" t="s">
        <v>1645</v>
      </c>
      <c r="I216" s="209" t="s">
        <v>1646</v>
      </c>
      <c r="J216" s="231" t="str">
        <f t="shared" si="10"/>
        <v>GoldPerth Mint (ANZ)</v>
      </c>
      <c r="K216" s="231" t="str">
        <f t="shared" si="11"/>
        <v>GoldPerth Mint (ANZ)</v>
      </c>
    </row>
    <row r="217" spans="1:11">
      <c r="A217" s="209" t="s">
        <v>1098</v>
      </c>
      <c r="B217" s="209" t="s">
        <v>2465</v>
      </c>
      <c r="C217" s="209" t="s">
        <v>2465</v>
      </c>
      <c r="D217" s="209" t="s">
        <v>1068</v>
      </c>
      <c r="E217" s="209" t="s">
        <v>2466</v>
      </c>
      <c r="F217" s="283" t="s">
        <v>13177</v>
      </c>
      <c r="H217" s="209" t="s">
        <v>2467</v>
      </c>
      <c r="I217" s="209" t="s">
        <v>2468</v>
      </c>
      <c r="J217" s="231" t="str">
        <f t="shared" si="10"/>
        <v>GoldPlanta Recuperadora de Metales SpA</v>
      </c>
      <c r="K217" s="231" t="str">
        <f t="shared" si="11"/>
        <v>GoldPlanta Recuperadora de Metales SpA</v>
      </c>
    </row>
    <row r="218" spans="1:11">
      <c r="A218" s="209" t="s">
        <v>1098</v>
      </c>
      <c r="B218" s="209" t="s">
        <v>883</v>
      </c>
      <c r="C218" s="209" t="s">
        <v>883</v>
      </c>
      <c r="D218" s="209" t="s">
        <v>854</v>
      </c>
      <c r="E218" s="209" t="s">
        <v>701</v>
      </c>
      <c r="F218" s="283" t="s">
        <v>13177</v>
      </c>
      <c r="H218" s="209" t="s">
        <v>1606</v>
      </c>
      <c r="I218" s="209" t="s">
        <v>9842</v>
      </c>
      <c r="J218" s="231" t="str">
        <f t="shared" si="10"/>
        <v>GoldPrioksky Plant of Non-Ferrous Metals</v>
      </c>
      <c r="K218" s="231" t="str">
        <f t="shared" si="11"/>
        <v>GoldPrioksky Plant of Non-Ferrous Metals</v>
      </c>
    </row>
    <row r="219" spans="1:11">
      <c r="A219" s="209" t="s">
        <v>1098</v>
      </c>
      <c r="B219" s="209" t="s">
        <v>2175</v>
      </c>
      <c r="C219" s="209" t="s">
        <v>15334</v>
      </c>
      <c r="D219" s="209" t="s">
        <v>1067</v>
      </c>
      <c r="E219" s="209" t="s">
        <v>699</v>
      </c>
      <c r="F219" s="283" t="s">
        <v>13177</v>
      </c>
      <c r="H219" s="209" t="s">
        <v>15337</v>
      </c>
      <c r="I219" s="209" t="s">
        <v>3741</v>
      </c>
      <c r="J219" s="231" t="str">
        <f t="shared" si="10"/>
        <v>GoldProduits Artistiques de Métaux</v>
      </c>
      <c r="K219" s="231" t="str">
        <f t="shared" si="11"/>
        <v>GoldProduits Artistiques de Métaux</v>
      </c>
    </row>
    <row r="220" spans="1:11">
      <c r="A220" s="209" t="s">
        <v>1098</v>
      </c>
      <c r="B220" s="209" t="s">
        <v>1198</v>
      </c>
      <c r="C220" s="209" t="s">
        <v>1198</v>
      </c>
      <c r="D220" s="209" t="s">
        <v>1074</v>
      </c>
      <c r="E220" s="209" t="s">
        <v>702</v>
      </c>
      <c r="F220" s="283" t="s">
        <v>13177</v>
      </c>
      <c r="H220" s="209" t="s">
        <v>1607</v>
      </c>
      <c r="I220" s="209" t="s">
        <v>5954</v>
      </c>
      <c r="J220" s="231" t="str">
        <f t="shared" si="10"/>
        <v>GoldPT Aneka Tambang (Persero) Tbk</v>
      </c>
      <c r="K220" s="231" t="str">
        <f t="shared" si="11"/>
        <v>GoldPT Aneka Tambang (Persero) Tbk</v>
      </c>
    </row>
    <row r="221" spans="1:11">
      <c r="A221" s="209" t="s">
        <v>1098</v>
      </c>
      <c r="B221" s="209" t="s">
        <v>12379</v>
      </c>
      <c r="C221" s="209" t="s">
        <v>12379</v>
      </c>
      <c r="D221" s="209" t="s">
        <v>1067</v>
      </c>
      <c r="E221" s="209" t="s">
        <v>703</v>
      </c>
      <c r="F221" s="283" t="s">
        <v>13177</v>
      </c>
      <c r="H221" s="209" t="s">
        <v>1608</v>
      </c>
      <c r="I221" s="209" t="s">
        <v>1589</v>
      </c>
      <c r="J221" s="231" t="str">
        <f t="shared" si="10"/>
        <v>GoldPX Precinox S.A.</v>
      </c>
      <c r="K221" s="231" t="str">
        <f t="shared" si="11"/>
        <v>GoldPX Precinox S.A.</v>
      </c>
    </row>
    <row r="222" spans="1:11">
      <c r="A222" s="209" t="s">
        <v>1098</v>
      </c>
      <c r="B222" s="209" t="s">
        <v>2266</v>
      </c>
      <c r="C222" s="209" t="s">
        <v>12379</v>
      </c>
      <c r="D222" s="209" t="s">
        <v>1067</v>
      </c>
      <c r="E222" s="209" t="s">
        <v>703</v>
      </c>
      <c r="F222" s="283" t="s">
        <v>13177</v>
      </c>
      <c r="H222" s="209" t="s">
        <v>1608</v>
      </c>
      <c r="I222" s="209" t="s">
        <v>1589</v>
      </c>
      <c r="J222" s="231" t="str">
        <f t="shared" si="10"/>
        <v>GoldPX Précinox S.A.</v>
      </c>
      <c r="K222" s="231" t="str">
        <f t="shared" si="11"/>
        <v>GoldPX Précinox S.A.</v>
      </c>
    </row>
    <row r="223" spans="1:11">
      <c r="A223" s="209" t="s">
        <v>1098</v>
      </c>
      <c r="B223" s="209" t="s">
        <v>13116</v>
      </c>
      <c r="C223" s="209" t="s">
        <v>13116</v>
      </c>
      <c r="D223" s="209" t="s">
        <v>2384</v>
      </c>
      <c r="E223" s="209" t="s">
        <v>13117</v>
      </c>
      <c r="F223" s="283" t="s">
        <v>13177</v>
      </c>
      <c r="H223" s="209" t="s">
        <v>13176</v>
      </c>
      <c r="I223" s="209" t="s">
        <v>1601</v>
      </c>
      <c r="J223" s="231" t="str">
        <f t="shared" si="10"/>
        <v>GoldQG Refining, LLC</v>
      </c>
      <c r="K223" s="231" t="str">
        <f t="shared" si="11"/>
        <v>GoldQG Refining, LLC</v>
      </c>
    </row>
    <row r="224" spans="1:11">
      <c r="A224" s="209" t="s">
        <v>1098</v>
      </c>
      <c r="B224" s="209" t="s">
        <v>2112</v>
      </c>
      <c r="C224" s="209" t="s">
        <v>2112</v>
      </c>
      <c r="D224" s="209" t="s">
        <v>864</v>
      </c>
      <c r="E224" s="209" t="s">
        <v>704</v>
      </c>
      <c r="F224" s="283" t="s">
        <v>13177</v>
      </c>
      <c r="H224" s="209" t="s">
        <v>1609</v>
      </c>
      <c r="I224" s="209" t="s">
        <v>1610</v>
      </c>
      <c r="J224" s="231" t="str">
        <f t="shared" si="10"/>
        <v>GoldRand Refinery (Pty) Ltd.</v>
      </c>
      <c r="K224" s="231" t="str">
        <f t="shared" si="11"/>
        <v>GoldRand Refinery (Pty) Ltd.</v>
      </c>
    </row>
    <row r="225" spans="1:11">
      <c r="A225" s="209" t="s">
        <v>1098</v>
      </c>
      <c r="B225" s="209" t="s">
        <v>26</v>
      </c>
      <c r="C225" s="209" t="s">
        <v>15610</v>
      </c>
      <c r="D225" s="209" t="s">
        <v>1080</v>
      </c>
      <c r="E225" s="209" t="s">
        <v>681</v>
      </c>
      <c r="F225" s="283" t="s">
        <v>13177</v>
      </c>
      <c r="H225" s="209" t="s">
        <v>1579</v>
      </c>
      <c r="I225" s="209" t="s">
        <v>12814</v>
      </c>
      <c r="J225" s="231" t="str">
        <f t="shared" si="10"/>
        <v>GoldRefinery LS-Nikko Copper Inc.</v>
      </c>
      <c r="K225" s="231" t="str">
        <f t="shared" si="11"/>
        <v>GoldRefinery LS-Nikko Copper Inc.</v>
      </c>
    </row>
    <row r="226" spans="1:11">
      <c r="A226" s="209" t="s">
        <v>1098</v>
      </c>
      <c r="B226" s="209" t="s">
        <v>12869</v>
      </c>
      <c r="C226" s="209" t="s">
        <v>12869</v>
      </c>
      <c r="D226" s="209" t="s">
        <v>1069</v>
      </c>
      <c r="E226" s="209" t="s">
        <v>656</v>
      </c>
      <c r="F226" s="283" t="s">
        <v>13177</v>
      </c>
      <c r="H226" s="209" t="s">
        <v>1549</v>
      </c>
      <c r="I226" s="209" t="s">
        <v>13542</v>
      </c>
      <c r="J226" s="231" t="str">
        <f t="shared" si="10"/>
        <v>GoldRefinery of Seemine Gold Co., Ltd.</v>
      </c>
      <c r="K226" s="231" t="str">
        <f t="shared" si="11"/>
        <v>GoldRefinery of Seemine Gold Co., Ltd.</v>
      </c>
    </row>
    <row r="227" spans="1:11">
      <c r="A227" s="209" t="s">
        <v>1098</v>
      </c>
      <c r="B227" s="209" t="s">
        <v>2267</v>
      </c>
      <c r="C227" s="209" t="s">
        <v>13704</v>
      </c>
      <c r="D227" s="209" t="s">
        <v>1085</v>
      </c>
      <c r="E227" s="209" t="s">
        <v>2268</v>
      </c>
      <c r="F227" s="283" t="s">
        <v>13177</v>
      </c>
      <c r="H227" s="209" t="s">
        <v>2301</v>
      </c>
      <c r="I227" s="209" t="s">
        <v>8844</v>
      </c>
      <c r="J227" s="231" t="str">
        <f t="shared" si="10"/>
        <v>GoldRemondis Argentia B.V.</v>
      </c>
      <c r="K227" s="231" t="str">
        <f t="shared" si="11"/>
        <v>GoldRemondis Argentia B.V.</v>
      </c>
    </row>
    <row r="228" spans="1:11">
      <c r="A228" s="209" t="s">
        <v>1098</v>
      </c>
      <c r="B228" s="209" t="s">
        <v>13704</v>
      </c>
      <c r="C228" s="209" t="s">
        <v>13704</v>
      </c>
      <c r="D228" s="209" t="s">
        <v>1085</v>
      </c>
      <c r="E228" s="209" t="s">
        <v>2268</v>
      </c>
      <c r="F228" s="283" t="s">
        <v>13177</v>
      </c>
      <c r="H228" s="209" t="s">
        <v>2301</v>
      </c>
      <c r="I228" s="209" t="s">
        <v>8844</v>
      </c>
      <c r="J228" s="231" t="str">
        <f t="shared" si="10"/>
        <v>GoldREMONDIS PMR B.V.</v>
      </c>
      <c r="K228" s="231" t="str">
        <f t="shared" si="11"/>
        <v>GoldREMONDIS PMR B.V.</v>
      </c>
    </row>
    <row r="229" spans="1:11">
      <c r="A229" s="209" t="s">
        <v>1098</v>
      </c>
      <c r="B229" s="209" t="s">
        <v>884</v>
      </c>
      <c r="C229" s="209" t="s">
        <v>884</v>
      </c>
      <c r="D229" s="209" t="s">
        <v>1066</v>
      </c>
      <c r="E229" s="209" t="s">
        <v>705</v>
      </c>
      <c r="F229" s="283" t="s">
        <v>13177</v>
      </c>
      <c r="H229" s="209" t="s">
        <v>1611</v>
      </c>
      <c r="I229" s="209" t="s">
        <v>1569</v>
      </c>
      <c r="J229" s="231" t="str">
        <f t="shared" si="10"/>
        <v>GoldRoyal Canadian Mint</v>
      </c>
      <c r="K229" s="231" t="str">
        <f t="shared" si="11"/>
        <v>GoldRoyal Canadian Mint</v>
      </c>
    </row>
    <row r="230" spans="1:11">
      <c r="A230" s="209" t="s">
        <v>1098</v>
      </c>
      <c r="B230" s="209" t="s">
        <v>2210</v>
      </c>
      <c r="C230" s="209" t="s">
        <v>2210</v>
      </c>
      <c r="D230" s="209" t="s">
        <v>1073</v>
      </c>
      <c r="E230" s="209" t="s">
        <v>2211</v>
      </c>
      <c r="F230" s="283" t="s">
        <v>13177</v>
      </c>
      <c r="H230" s="209" t="s">
        <v>15683</v>
      </c>
      <c r="I230" s="209" t="s">
        <v>12780</v>
      </c>
      <c r="J230" s="231" t="str">
        <f t="shared" si="10"/>
        <v>GoldSAAMP</v>
      </c>
      <c r="K230" s="231" t="str">
        <f t="shared" si="11"/>
        <v>GoldSAAMP</v>
      </c>
    </row>
    <row r="231" spans="1:11">
      <c r="A231" s="209" t="s">
        <v>1098</v>
      </c>
      <c r="B231" s="209" t="s">
        <v>1132</v>
      </c>
      <c r="C231" s="209" t="s">
        <v>1132</v>
      </c>
      <c r="D231" s="209" t="s">
        <v>2384</v>
      </c>
      <c r="E231" s="209" t="s">
        <v>706</v>
      </c>
      <c r="F231" s="283" t="s">
        <v>13177</v>
      </c>
      <c r="H231" s="209" t="s">
        <v>1612</v>
      </c>
      <c r="I231" s="209" t="s">
        <v>1613</v>
      </c>
      <c r="J231" s="231" t="str">
        <f t="shared" si="10"/>
        <v>GoldSabin Metal Corp.</v>
      </c>
      <c r="K231" s="231" t="str">
        <f t="shared" si="11"/>
        <v>GoldSabin Metal Corp.</v>
      </c>
    </row>
    <row r="232" spans="1:11">
      <c r="A232" s="209" t="s">
        <v>1098</v>
      </c>
      <c r="B232" s="209" t="s">
        <v>2469</v>
      </c>
      <c r="C232" s="209" t="s">
        <v>2469</v>
      </c>
      <c r="D232" s="209" t="s">
        <v>1076</v>
      </c>
      <c r="E232" s="209" t="s">
        <v>2470</v>
      </c>
      <c r="F232" s="283" t="s">
        <v>13177</v>
      </c>
      <c r="H232" s="209" t="s">
        <v>1536</v>
      </c>
      <c r="I232" s="209" t="s">
        <v>6417</v>
      </c>
      <c r="J232" s="231" t="str">
        <f t="shared" si="10"/>
        <v>GoldSafimet S.p.A</v>
      </c>
      <c r="K232" s="231" t="str">
        <f t="shared" si="11"/>
        <v>GoldSafimet S.p.A</v>
      </c>
    </row>
    <row r="233" spans="1:11">
      <c r="A233" s="209" t="s">
        <v>1098</v>
      </c>
      <c r="B233" s="209" t="s">
        <v>2269</v>
      </c>
      <c r="C233" s="209" t="s">
        <v>2269</v>
      </c>
      <c r="D233" s="209" t="s">
        <v>13409</v>
      </c>
      <c r="E233" s="209" t="s">
        <v>2270</v>
      </c>
      <c r="F233" s="283" t="s">
        <v>13177</v>
      </c>
      <c r="H233" s="209" t="s">
        <v>2271</v>
      </c>
      <c r="I233" s="209" t="s">
        <v>4102</v>
      </c>
      <c r="J233" s="231" t="str">
        <f t="shared" si="10"/>
        <v>GoldSAFINA A.S.</v>
      </c>
      <c r="K233" s="231" t="str">
        <f t="shared" si="11"/>
        <v>GoldSAFINA A.S.</v>
      </c>
    </row>
    <row r="234" spans="1:11">
      <c r="A234" s="209" t="s">
        <v>1098</v>
      </c>
      <c r="B234" s="209" t="s">
        <v>2252</v>
      </c>
      <c r="C234" s="209" t="s">
        <v>52</v>
      </c>
      <c r="D234" s="209" t="s">
        <v>1077</v>
      </c>
      <c r="E234" s="209" t="s">
        <v>673</v>
      </c>
      <c r="F234" s="283" t="s">
        <v>13177</v>
      </c>
      <c r="H234" s="209" t="s">
        <v>2314</v>
      </c>
      <c r="I234" s="209" t="s">
        <v>6611</v>
      </c>
      <c r="J234" s="231" t="str">
        <f t="shared" si="10"/>
        <v>GoldSaganoseki Smelter &amp; Refinery</v>
      </c>
      <c r="K234" s="231" t="str">
        <f t="shared" si="11"/>
        <v>GoldSaganoseki Smelter &amp; Refinery</v>
      </c>
    </row>
    <row r="235" spans="1:11">
      <c r="A235" s="209" t="s">
        <v>1098</v>
      </c>
      <c r="B235" s="209" t="s">
        <v>2272</v>
      </c>
      <c r="C235" s="209" t="s">
        <v>2272</v>
      </c>
      <c r="D235" s="209" t="s">
        <v>1075</v>
      </c>
      <c r="E235" s="209" t="s">
        <v>2273</v>
      </c>
      <c r="F235" s="283" t="s">
        <v>13177</v>
      </c>
      <c r="H235" s="209" t="s">
        <v>2274</v>
      </c>
      <c r="I235" s="209" t="s">
        <v>15381</v>
      </c>
      <c r="J235" s="231" t="str">
        <f t="shared" si="10"/>
        <v>GoldSai Refinery</v>
      </c>
      <c r="K235" s="231" t="str">
        <f t="shared" si="11"/>
        <v>GoldSai Refinery</v>
      </c>
    </row>
    <row r="236" spans="1:11">
      <c r="A236" s="209" t="s">
        <v>1098</v>
      </c>
      <c r="B236" s="209" t="s">
        <v>15335</v>
      </c>
      <c r="C236" s="209" t="s">
        <v>15677</v>
      </c>
      <c r="D236" s="209" t="s">
        <v>1061</v>
      </c>
      <c r="E236" s="209" t="s">
        <v>15336</v>
      </c>
      <c r="F236" s="283" t="s">
        <v>13177</v>
      </c>
      <c r="H236" s="209" t="s">
        <v>1668</v>
      </c>
      <c r="I236" s="209" t="s">
        <v>2524</v>
      </c>
      <c r="J236" s="231" t="str">
        <f t="shared" si="10"/>
        <v>GoldSam Precious Metals</v>
      </c>
      <c r="K236" s="231" t="str">
        <f t="shared" si="11"/>
        <v>GoldSam Precious Metals</v>
      </c>
    </row>
    <row r="237" spans="1:11">
      <c r="A237" s="209" t="s">
        <v>1098</v>
      </c>
      <c r="B237" s="209" t="s">
        <v>15677</v>
      </c>
      <c r="C237" s="209" t="s">
        <v>15677</v>
      </c>
      <c r="D237" s="209" t="s">
        <v>1061</v>
      </c>
      <c r="E237" s="209" t="s">
        <v>15336</v>
      </c>
      <c r="F237" s="283" t="s">
        <v>13177</v>
      </c>
      <c r="H237" s="209" t="s">
        <v>1668</v>
      </c>
      <c r="I237" s="209" t="s">
        <v>2524</v>
      </c>
      <c r="J237" s="231" t="str">
        <f t="shared" si="10"/>
        <v>GoldSAM Precious Metals FZ-LLC</v>
      </c>
      <c r="K237" s="231" t="str">
        <f t="shared" si="11"/>
        <v>GoldSAM Precious Metals FZ-LLC</v>
      </c>
    </row>
    <row r="238" spans="1:11">
      <c r="A238" s="209" t="s">
        <v>1098</v>
      </c>
      <c r="B238" s="209" t="s">
        <v>1614</v>
      </c>
      <c r="C238" s="209" t="s">
        <v>1372</v>
      </c>
      <c r="D238" s="209" t="s">
        <v>1080</v>
      </c>
      <c r="E238" s="209" t="s">
        <v>1373</v>
      </c>
      <c r="F238" s="283" t="s">
        <v>13177</v>
      </c>
      <c r="H238" s="209" t="s">
        <v>1538</v>
      </c>
      <c r="I238" s="209" t="s">
        <v>12813</v>
      </c>
      <c r="J238" s="231" t="str">
        <f t="shared" si="10"/>
        <v>GoldSamdok Metal</v>
      </c>
      <c r="K238" s="231" t="str">
        <f t="shared" si="11"/>
        <v>GoldSamdok Metal</v>
      </c>
    </row>
    <row r="239" spans="1:11">
      <c r="A239" s="209" t="s">
        <v>1098</v>
      </c>
      <c r="B239" s="209" t="s">
        <v>1372</v>
      </c>
      <c r="C239" s="209" t="s">
        <v>1372</v>
      </c>
      <c r="D239" s="209" t="s">
        <v>1080</v>
      </c>
      <c r="E239" s="209" t="s">
        <v>1373</v>
      </c>
      <c r="F239" s="283" t="s">
        <v>13177</v>
      </c>
      <c r="H239" s="209" t="s">
        <v>1538</v>
      </c>
      <c r="I239" s="209" t="s">
        <v>12813</v>
      </c>
      <c r="J239" s="231" t="str">
        <f t="shared" si="10"/>
        <v>GoldSamduck Precious Metals</v>
      </c>
      <c r="K239" s="231" t="str">
        <f t="shared" si="11"/>
        <v>GoldSamduck Precious Metals</v>
      </c>
    </row>
    <row r="240" spans="1:11">
      <c r="A240" s="209" t="s">
        <v>1098</v>
      </c>
      <c r="B240" s="209" t="s">
        <v>2395</v>
      </c>
      <c r="C240" s="209" t="s">
        <v>2395</v>
      </c>
      <c r="D240" s="209" t="s">
        <v>1080</v>
      </c>
      <c r="E240" s="209" t="s">
        <v>707</v>
      </c>
      <c r="F240" s="283" t="s">
        <v>13177</v>
      </c>
      <c r="H240" s="209" t="s">
        <v>1616</v>
      </c>
      <c r="I240" s="209" t="s">
        <v>12820</v>
      </c>
      <c r="J240" s="231" t="str">
        <f t="shared" si="10"/>
        <v>GoldSamwon Metals Corp.</v>
      </c>
      <c r="K240" s="231" t="str">
        <f t="shared" si="11"/>
        <v>GoldSamwon Metals Corp.</v>
      </c>
    </row>
    <row r="241" spans="1:11">
      <c r="A241" s="209" t="s">
        <v>1098</v>
      </c>
      <c r="B241" s="209" t="s">
        <v>1615</v>
      </c>
      <c r="C241" s="209" t="s">
        <v>1372</v>
      </c>
      <c r="D241" s="209" t="s">
        <v>1080</v>
      </c>
      <c r="E241" s="209" t="s">
        <v>1373</v>
      </c>
      <c r="F241" s="283" t="s">
        <v>13177</v>
      </c>
      <c r="H241" s="209" t="s">
        <v>1538</v>
      </c>
      <c r="I241" s="209" t="s">
        <v>12813</v>
      </c>
      <c r="J241" s="231" t="str">
        <f t="shared" si="10"/>
        <v>GoldSD (Samdok) Metal</v>
      </c>
      <c r="K241" s="231" t="str">
        <f t="shared" si="11"/>
        <v>GoldSD (Samdok) Metal</v>
      </c>
    </row>
    <row r="242" spans="1:11">
      <c r="A242" s="209" t="s">
        <v>1098</v>
      </c>
      <c r="B242" s="209" t="s">
        <v>12380</v>
      </c>
      <c r="C242" s="209" t="s">
        <v>12380</v>
      </c>
      <c r="D242" s="209" t="s">
        <v>1071</v>
      </c>
      <c r="E242" s="209" t="s">
        <v>708</v>
      </c>
      <c r="F242" s="283" t="s">
        <v>13177</v>
      </c>
      <c r="H242" s="209" t="s">
        <v>1617</v>
      </c>
      <c r="I242" s="209" t="s">
        <v>4621</v>
      </c>
      <c r="J242" s="231" t="str">
        <f t="shared" si="10"/>
        <v>GoldSEMPSA Joyeria Plateria S.A.</v>
      </c>
      <c r="K242" s="231" t="str">
        <f t="shared" si="11"/>
        <v>GoldSEMPSA Joyeria Plateria S.A.</v>
      </c>
    </row>
    <row r="243" spans="1:11">
      <c r="A243" s="209" t="s">
        <v>1098</v>
      </c>
      <c r="B243" s="209" t="s">
        <v>2275</v>
      </c>
      <c r="C243" s="209" t="s">
        <v>12380</v>
      </c>
      <c r="D243" s="209" t="s">
        <v>1071</v>
      </c>
      <c r="E243" s="209" t="s">
        <v>708</v>
      </c>
      <c r="F243" s="283" t="s">
        <v>13177</v>
      </c>
      <c r="H243" s="209" t="s">
        <v>1617</v>
      </c>
      <c r="I243" s="209" t="s">
        <v>4621</v>
      </c>
      <c r="J243" s="231" t="str">
        <f t="shared" si="10"/>
        <v>GoldSEMPSA Joyería Platería S.A.</v>
      </c>
      <c r="K243" s="231" t="str">
        <f t="shared" si="11"/>
        <v>GoldSEMPSA Joyería Platería S.A.</v>
      </c>
    </row>
    <row r="244" spans="1:11">
      <c r="A244" s="209" t="s">
        <v>1098</v>
      </c>
      <c r="B244" s="209" t="s">
        <v>1618</v>
      </c>
      <c r="C244" s="209" t="s">
        <v>12380</v>
      </c>
      <c r="D244" s="209" t="s">
        <v>1071</v>
      </c>
      <c r="E244" s="209" t="s">
        <v>708</v>
      </c>
      <c r="F244" s="283" t="s">
        <v>13177</v>
      </c>
      <c r="H244" s="209" t="s">
        <v>1617</v>
      </c>
      <c r="I244" s="209" t="s">
        <v>4621</v>
      </c>
      <c r="J244" s="231" t="str">
        <f t="shared" si="10"/>
        <v>GoldSempsa JP (Cookson Sempsa)</v>
      </c>
      <c r="K244" s="231" t="str">
        <f t="shared" si="11"/>
        <v>GoldSempsa JP (Cookson Sempsa)</v>
      </c>
    </row>
    <row r="245" spans="1:11">
      <c r="A245" s="209" t="s">
        <v>1098</v>
      </c>
      <c r="B245" s="209" t="s">
        <v>14939</v>
      </c>
      <c r="C245" s="209" t="s">
        <v>14918</v>
      </c>
      <c r="D245" s="209" t="s">
        <v>1069</v>
      </c>
      <c r="E245" s="209" t="s">
        <v>715</v>
      </c>
      <c r="F245" s="283" t="s">
        <v>13177</v>
      </c>
      <c r="H245" s="209" t="s">
        <v>1621</v>
      </c>
      <c r="I245" s="209" t="s">
        <v>13532</v>
      </c>
      <c r="J245" s="231" t="str">
        <f t="shared" si="10"/>
        <v>GoldShan Dong Huangjin</v>
      </c>
      <c r="K245" s="231" t="str">
        <f t="shared" si="11"/>
        <v>GoldShan Dong Huangjin</v>
      </c>
    </row>
    <row r="246" spans="1:11">
      <c r="A246" s="209" t="s">
        <v>1098</v>
      </c>
      <c r="B246" s="209" t="s">
        <v>1634</v>
      </c>
      <c r="C246" s="209" t="s">
        <v>14918</v>
      </c>
      <c r="D246" s="209" t="s">
        <v>1069</v>
      </c>
      <c r="E246" s="209" t="s">
        <v>715</v>
      </c>
      <c r="F246" s="283" t="s">
        <v>13177</v>
      </c>
      <c r="H246" s="209" t="s">
        <v>1621</v>
      </c>
      <c r="I246" s="209" t="s">
        <v>13532</v>
      </c>
      <c r="J246" s="231" t="str">
        <f t="shared" si="10"/>
        <v>GoldShandong Gold Mine(Laizhou) Smelter Co., Ltd.</v>
      </c>
      <c r="K246" s="231" t="str">
        <f t="shared" si="11"/>
        <v>GoldShandong Gold Mine(Laizhou) Smelter Co., Ltd.</v>
      </c>
    </row>
    <row r="247" spans="1:11">
      <c r="A247" s="209" t="s">
        <v>1098</v>
      </c>
      <c r="B247" s="209" t="s">
        <v>14918</v>
      </c>
      <c r="C247" s="209" t="s">
        <v>14918</v>
      </c>
      <c r="D247" s="209" t="s">
        <v>1069</v>
      </c>
      <c r="E247" s="209" t="s">
        <v>715</v>
      </c>
      <c r="F247" s="283" t="s">
        <v>13177</v>
      </c>
      <c r="H247" s="209" t="s">
        <v>1621</v>
      </c>
      <c r="I247" s="209" t="s">
        <v>13532</v>
      </c>
      <c r="J247" s="231" t="str">
        <f t="shared" si="10"/>
        <v>GoldShandong Gold Smelting Co., Ltd.</v>
      </c>
      <c r="K247" s="231" t="str">
        <f t="shared" si="11"/>
        <v>GoldShandong Gold Smelting Co., Ltd.</v>
      </c>
    </row>
    <row r="248" spans="1:11">
      <c r="A248" s="209" t="s">
        <v>1098</v>
      </c>
      <c r="B248" s="209" t="s">
        <v>2396</v>
      </c>
      <c r="C248" s="209" t="s">
        <v>1550</v>
      </c>
      <c r="D248" s="209" t="s">
        <v>1069</v>
      </c>
      <c r="E248" s="209" t="s">
        <v>1551</v>
      </c>
      <c r="F248" s="283" t="s">
        <v>13177</v>
      </c>
      <c r="H248" s="209" t="s">
        <v>1552</v>
      </c>
      <c r="I248" s="209" t="s">
        <v>13532</v>
      </c>
      <c r="J248" s="231" t="str">
        <f t="shared" si="10"/>
        <v>GoldShandong Guoda Gold Co., Ltd.</v>
      </c>
      <c r="K248" s="231" t="str">
        <f t="shared" si="11"/>
        <v>GoldShandong Guoda Gold Co., Ltd.</v>
      </c>
    </row>
    <row r="249" spans="1:11">
      <c r="A249" s="209" t="s">
        <v>1098</v>
      </c>
      <c r="B249" s="209" t="s">
        <v>14940</v>
      </c>
      <c r="C249" s="209" t="s">
        <v>14918</v>
      </c>
      <c r="D249" s="209" t="s">
        <v>1069</v>
      </c>
      <c r="E249" s="209" t="s">
        <v>715</v>
      </c>
      <c r="F249" s="283" t="s">
        <v>13177</v>
      </c>
      <c r="H249" s="209" t="s">
        <v>1621</v>
      </c>
      <c r="I249" s="209" t="s">
        <v>13532</v>
      </c>
      <c r="J249" s="231" t="str">
        <f t="shared" si="10"/>
        <v>Goldshandong huangjin</v>
      </c>
      <c r="K249" s="231" t="str">
        <f t="shared" si="11"/>
        <v>Goldshandong huangjin</v>
      </c>
    </row>
    <row r="250" spans="1:11">
      <c r="A250" s="209" t="s">
        <v>1098</v>
      </c>
      <c r="B250" s="209" t="s">
        <v>13705</v>
      </c>
      <c r="C250" s="209" t="s">
        <v>13705</v>
      </c>
      <c r="D250" s="209" t="s">
        <v>1069</v>
      </c>
      <c r="E250" s="209" t="s">
        <v>13706</v>
      </c>
      <c r="F250" s="283" t="s">
        <v>13177</v>
      </c>
      <c r="H250" s="209" t="s">
        <v>1621</v>
      </c>
      <c r="I250" s="209" t="s">
        <v>13532</v>
      </c>
      <c r="J250" s="231" t="str">
        <f t="shared" si="10"/>
        <v>GoldShandong Humon Smelting Co., Ltd.</v>
      </c>
      <c r="K250" s="231" t="str">
        <f t="shared" si="11"/>
        <v>GoldShandong Humon Smelting Co., Ltd.</v>
      </c>
    </row>
    <row r="251" spans="1:11">
      <c r="A251" s="209" t="s">
        <v>1098</v>
      </c>
      <c r="B251" s="209" t="s">
        <v>12870</v>
      </c>
      <c r="C251" s="209" t="s">
        <v>14918</v>
      </c>
      <c r="D251" s="209" t="s">
        <v>1069</v>
      </c>
      <c r="E251" s="209" t="s">
        <v>715</v>
      </c>
      <c r="F251" s="283" t="s">
        <v>13177</v>
      </c>
      <c r="H251" s="209" t="s">
        <v>1621</v>
      </c>
      <c r="I251" s="209" t="s">
        <v>13532</v>
      </c>
      <c r="J251" s="231" t="str">
        <f t="shared" si="10"/>
        <v>GoldShandong middlings JinYe group Co., LTD</v>
      </c>
      <c r="K251" s="231" t="str">
        <f t="shared" si="11"/>
        <v>GoldShandong middlings JinYe group Co., LTD</v>
      </c>
    </row>
    <row r="252" spans="1:11">
      <c r="A252" s="209" t="s">
        <v>1098</v>
      </c>
      <c r="B252" s="209" t="s">
        <v>1622</v>
      </c>
      <c r="C252" s="209" t="s">
        <v>1619</v>
      </c>
      <c r="D252" s="209" t="s">
        <v>1069</v>
      </c>
      <c r="E252" s="209" t="s">
        <v>1620</v>
      </c>
      <c r="F252" s="283" t="s">
        <v>13177</v>
      </c>
      <c r="H252" s="209" t="s">
        <v>1621</v>
      </c>
      <c r="I252" s="209" t="s">
        <v>13532</v>
      </c>
      <c r="J252" s="231" t="str">
        <f t="shared" si="10"/>
        <v>GoldShandong Tarzan Bio-Gold Industry Co., Ltd.</v>
      </c>
      <c r="K252" s="231" t="str">
        <f t="shared" si="11"/>
        <v>GoldShandong Tarzan Bio-Gold Industry Co., Ltd.</v>
      </c>
    </row>
    <row r="253" spans="1:11">
      <c r="A253" s="209" t="s">
        <v>1098</v>
      </c>
      <c r="B253" s="209" t="s">
        <v>1619</v>
      </c>
      <c r="C253" s="209" t="s">
        <v>1619</v>
      </c>
      <c r="D253" s="209" t="s">
        <v>1069</v>
      </c>
      <c r="E253" s="209" t="s">
        <v>1620</v>
      </c>
      <c r="F253" s="283" t="s">
        <v>13177</v>
      </c>
      <c r="H253" s="209" t="s">
        <v>1621</v>
      </c>
      <c r="I253" s="209" t="s">
        <v>13532</v>
      </c>
      <c r="J253" s="231" t="str">
        <f t="shared" si="10"/>
        <v>GoldShandong Tiancheng Biological Gold Industrial Co., Ltd.</v>
      </c>
      <c r="K253" s="231" t="str">
        <f t="shared" si="11"/>
        <v>GoldShandong Tiancheng Biological Gold Industrial Co., Ltd.</v>
      </c>
    </row>
    <row r="254" spans="1:11">
      <c r="A254" s="209" t="s">
        <v>1098</v>
      </c>
      <c r="B254" s="209" t="s">
        <v>2114</v>
      </c>
      <c r="C254" s="209" t="s">
        <v>2114</v>
      </c>
      <c r="D254" s="209" t="s">
        <v>1069</v>
      </c>
      <c r="E254" s="209" t="s">
        <v>709</v>
      </c>
      <c r="F254" s="283" t="s">
        <v>13177</v>
      </c>
      <c r="H254" s="209" t="s">
        <v>1552</v>
      </c>
      <c r="I254" s="209" t="s">
        <v>13532</v>
      </c>
      <c r="J254" s="231" t="str">
        <f t="shared" si="10"/>
        <v>GoldShandong Zhaojin Gold &amp; Silver Refinery Co., Ltd.</v>
      </c>
      <c r="K254" s="231" t="str">
        <f t="shared" si="11"/>
        <v>GoldShandong Zhaojin Gold &amp; Silver Refinery Co., Ltd.</v>
      </c>
    </row>
    <row r="255" spans="1:11">
      <c r="A255" s="209" t="s">
        <v>1098</v>
      </c>
      <c r="B255" s="209" t="s">
        <v>1623</v>
      </c>
      <c r="C255" s="209" t="s">
        <v>14918</v>
      </c>
      <c r="D255" s="209" t="s">
        <v>1069</v>
      </c>
      <c r="E255" s="209" t="s">
        <v>715</v>
      </c>
      <c r="F255" s="283" t="s">
        <v>13177</v>
      </c>
      <c r="H255" s="209" t="s">
        <v>1621</v>
      </c>
      <c r="I255" s="209" t="s">
        <v>13532</v>
      </c>
      <c r="J255" s="231" t="str">
        <f t="shared" si="10"/>
        <v>GoldShangdong Gold (Laizhou)</v>
      </c>
      <c r="K255" s="231" t="str">
        <f t="shared" si="11"/>
        <v>GoldShangdong Gold (Laizhou)</v>
      </c>
    </row>
    <row r="256" spans="1:11">
      <c r="A256" s="209" t="s">
        <v>1098</v>
      </c>
      <c r="B256" s="209" t="s">
        <v>15291</v>
      </c>
      <c r="C256" s="209" t="s">
        <v>15291</v>
      </c>
      <c r="D256" s="209" t="s">
        <v>1069</v>
      </c>
      <c r="E256" s="209" t="s">
        <v>15292</v>
      </c>
      <c r="F256" s="283" t="s">
        <v>13177</v>
      </c>
      <c r="H256" s="209" t="s">
        <v>14983</v>
      </c>
      <c r="I256" s="209" t="s">
        <v>13536</v>
      </c>
      <c r="J256" s="231" t="str">
        <f t="shared" si="10"/>
        <v>GoldShenzhen CuiLu Gold Co., Ltd.</v>
      </c>
      <c r="K256" s="231" t="str">
        <f t="shared" si="11"/>
        <v>GoldShenzhen CuiLu Gold Co., Ltd.</v>
      </c>
    </row>
    <row r="257" spans="1:11">
      <c r="A257" s="209" t="s">
        <v>1098</v>
      </c>
      <c r="B257" s="209" t="s">
        <v>15614</v>
      </c>
      <c r="C257" s="209" t="s">
        <v>15614</v>
      </c>
      <c r="D257" s="209" t="s">
        <v>1069</v>
      </c>
      <c r="E257" s="209" t="s">
        <v>15615</v>
      </c>
      <c r="F257" s="283"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c r="A258" s="209" t="s">
        <v>1098</v>
      </c>
      <c r="B258" s="209" t="s">
        <v>14941</v>
      </c>
      <c r="C258" s="209" t="s">
        <v>14941</v>
      </c>
      <c r="D258" s="209" t="s">
        <v>1069</v>
      </c>
      <c r="E258" s="209" t="s">
        <v>14942</v>
      </c>
      <c r="F258" s="283" t="s">
        <v>13177</v>
      </c>
      <c r="H258" s="209" t="s">
        <v>14983</v>
      </c>
      <c r="I258" s="209" t="s">
        <v>13536</v>
      </c>
      <c r="J258" s="231" t="str">
        <f t="shared" si="10"/>
        <v>GoldShenzhen Zhonghenglong Real Industry Co., Ltd.</v>
      </c>
      <c r="K258" s="231" t="str">
        <f t="shared" si="11"/>
        <v>GoldShenzhen Zhonghenglong Real Industry Co., Ltd.</v>
      </c>
    </row>
    <row r="259" spans="1:11">
      <c r="A259" s="209" t="s">
        <v>1098</v>
      </c>
      <c r="B259" s="209" t="s">
        <v>13758</v>
      </c>
      <c r="C259" s="209" t="s">
        <v>13758</v>
      </c>
      <c r="D259" s="209" t="s">
        <v>1075</v>
      </c>
      <c r="E259" s="209" t="s">
        <v>13773</v>
      </c>
      <c r="F259" s="283" t="s">
        <v>13177</v>
      </c>
      <c r="H259" s="209" t="s">
        <v>13781</v>
      </c>
      <c r="I259" s="209" t="s">
        <v>15280</v>
      </c>
      <c r="J259" s="231" t="str">
        <f t="shared" si="10"/>
        <v>GoldShirpur Gold Refinery Ltd.</v>
      </c>
      <c r="K259" s="231" t="str">
        <f t="shared" si="11"/>
        <v>GoldShirpur Gold Refinery Ltd.</v>
      </c>
    </row>
    <row r="260" spans="1:11">
      <c r="A260" s="209" t="s">
        <v>1098</v>
      </c>
      <c r="B260" s="209" t="s">
        <v>27</v>
      </c>
      <c r="C260" s="209" t="s">
        <v>1199</v>
      </c>
      <c r="D260" s="209" t="s">
        <v>1077</v>
      </c>
      <c r="E260" s="209" t="s">
        <v>713</v>
      </c>
      <c r="F260" s="283" t="s">
        <v>13177</v>
      </c>
      <c r="H260" s="209" t="s">
        <v>1629</v>
      </c>
      <c r="I260" s="209" t="s">
        <v>1630</v>
      </c>
      <c r="J260" s="231" t="str">
        <f t="shared" si="10"/>
        <v>GoldShonan Plant Tanaka Kikinzoku</v>
      </c>
      <c r="K260" s="231" t="str">
        <f t="shared" si="11"/>
        <v>GoldShonan Plant Tanaka Kikinzoku</v>
      </c>
    </row>
    <row r="261" spans="1:11">
      <c r="A261" s="209" t="s">
        <v>1098</v>
      </c>
      <c r="B261" s="209" t="s">
        <v>12871</v>
      </c>
      <c r="C261" s="209" t="s">
        <v>885</v>
      </c>
      <c r="D261" s="209" t="s">
        <v>854</v>
      </c>
      <c r="E261" s="209" t="s">
        <v>710</v>
      </c>
      <c r="F261" s="283" t="s">
        <v>13177</v>
      </c>
      <c r="H261" s="209" t="s">
        <v>1626</v>
      </c>
      <c r="I261" s="209" t="s">
        <v>9906</v>
      </c>
      <c r="J261" s="231" t="str">
        <f t="shared" si="10"/>
        <v>GoldShyolkovsky</v>
      </c>
      <c r="K261" s="231" t="str">
        <f t="shared" si="11"/>
        <v>GoldShyolkovsky</v>
      </c>
    </row>
    <row r="262" spans="1:11">
      <c r="A262" s="209" t="s">
        <v>1098</v>
      </c>
      <c r="B262" s="209" t="s">
        <v>2115</v>
      </c>
      <c r="C262" s="209" t="s">
        <v>2115</v>
      </c>
      <c r="D262" s="209" t="s">
        <v>1069</v>
      </c>
      <c r="E262" s="209" t="s">
        <v>1357</v>
      </c>
      <c r="F262" s="283" t="s">
        <v>13177</v>
      </c>
      <c r="H262" s="209" t="s">
        <v>1625</v>
      </c>
      <c r="I262" s="209" t="s">
        <v>13538</v>
      </c>
      <c r="J262" s="231" t="str">
        <f t="shared" si="10"/>
        <v>GoldSichuan Tianze Precious Metals Co., Ltd.</v>
      </c>
      <c r="K262" s="231" t="str">
        <f t="shared" si="11"/>
        <v>GoldSichuan Tianze Precious Metals Co., Ltd.</v>
      </c>
    </row>
    <row r="263" spans="1:11">
      <c r="A263" s="209" t="s">
        <v>1098</v>
      </c>
      <c r="B263" s="209" t="s">
        <v>28</v>
      </c>
      <c r="C263" s="209" t="s">
        <v>1199</v>
      </c>
      <c r="D263" s="209" t="s">
        <v>1077</v>
      </c>
      <c r="E263" s="209" t="s">
        <v>713</v>
      </c>
      <c r="F263" s="283" t="s">
        <v>13177</v>
      </c>
      <c r="H263" s="209" t="s">
        <v>1629</v>
      </c>
      <c r="I263" s="209" t="s">
        <v>1630</v>
      </c>
      <c r="J263" s="231" t="str">
        <f t="shared" si="10"/>
        <v>GoldSingapore Tanaka</v>
      </c>
      <c r="K263" s="231" t="str">
        <f t="shared" si="11"/>
        <v>GoldSingapore Tanaka</v>
      </c>
    </row>
    <row r="264" spans="1:11">
      <c r="A264" s="209" t="s">
        <v>1098</v>
      </c>
      <c r="B264" s="209" t="s">
        <v>1358</v>
      </c>
      <c r="C264" s="209" t="s">
        <v>1358</v>
      </c>
      <c r="D264" s="209" t="s">
        <v>2383</v>
      </c>
      <c r="E264" s="209" t="s">
        <v>1359</v>
      </c>
      <c r="F264" s="283" t="s">
        <v>13177</v>
      </c>
      <c r="H264" s="209" t="s">
        <v>1664</v>
      </c>
      <c r="I264" s="209" t="s">
        <v>1665</v>
      </c>
      <c r="J264" s="231" t="str">
        <f t="shared" si="10"/>
        <v>GoldSingway Technology Co., Ltd.</v>
      </c>
      <c r="K264" s="231" t="str">
        <f t="shared" si="11"/>
        <v>GoldSingway Technology Co., Ltd.</v>
      </c>
    </row>
    <row r="265" spans="1:11">
      <c r="A265" s="209" t="s">
        <v>1098</v>
      </c>
      <c r="B265" s="209" t="s">
        <v>990</v>
      </c>
      <c r="C265" s="209" t="s">
        <v>54</v>
      </c>
      <c r="D265" s="209" t="s">
        <v>1077</v>
      </c>
      <c r="E265" s="209" t="s">
        <v>712</v>
      </c>
      <c r="F265" s="283" t="s">
        <v>13177</v>
      </c>
      <c r="H265" s="209" t="s">
        <v>1628</v>
      </c>
      <c r="I265" s="209" t="s">
        <v>2165</v>
      </c>
      <c r="J265" s="231" t="str">
        <f t="shared" si="10"/>
        <v>GoldSMM</v>
      </c>
      <c r="K265" s="231" t="str">
        <f t="shared" si="11"/>
        <v>GoldSMM</v>
      </c>
    </row>
    <row r="266" spans="1:11">
      <c r="A266" s="209" t="s">
        <v>1098</v>
      </c>
      <c r="B266" s="209" t="s">
        <v>885</v>
      </c>
      <c r="C266" s="209" t="s">
        <v>885</v>
      </c>
      <c r="D266" s="209" t="s">
        <v>854</v>
      </c>
      <c r="E266" s="209" t="s">
        <v>710</v>
      </c>
      <c r="F266" s="283" t="s">
        <v>13177</v>
      </c>
      <c r="H266" s="209" t="s">
        <v>1626</v>
      </c>
      <c r="I266" s="209" t="s">
        <v>9906</v>
      </c>
      <c r="J266" s="231" t="str">
        <f t="shared" si="10"/>
        <v>GoldSOE Shyolkovsky Factory of Secondary Precious Metals</v>
      </c>
      <c r="K266" s="231" t="str">
        <f t="shared" si="11"/>
        <v>GoldSOE Shyolkovsky Factory of Secondary Precious Metals</v>
      </c>
    </row>
    <row r="267" spans="1:11">
      <c r="A267" s="209" t="s">
        <v>1098</v>
      </c>
      <c r="B267" s="209" t="s">
        <v>886</v>
      </c>
      <c r="C267" s="209" t="s">
        <v>886</v>
      </c>
      <c r="D267" s="209" t="s">
        <v>2383</v>
      </c>
      <c r="E267" s="209" t="s">
        <v>711</v>
      </c>
      <c r="F267" s="283" t="s">
        <v>13177</v>
      </c>
      <c r="H267" s="209" t="s">
        <v>1627</v>
      </c>
      <c r="I267" s="209" t="s">
        <v>11458</v>
      </c>
      <c r="J267" s="231" t="str">
        <f t="shared" si="10"/>
        <v>GoldSolar Applied Materials Technology Corp.</v>
      </c>
      <c r="K267" s="231" t="str">
        <f t="shared" si="11"/>
        <v>GoldSolar Applied Materials Technology Corp.</v>
      </c>
    </row>
    <row r="268" spans="1:11">
      <c r="A268" s="209" t="s">
        <v>1098</v>
      </c>
      <c r="B268" s="209" t="s">
        <v>29</v>
      </c>
      <c r="C268" s="209" t="s">
        <v>886</v>
      </c>
      <c r="D268" s="209" t="s">
        <v>2383</v>
      </c>
      <c r="E268" s="209" t="s">
        <v>711</v>
      </c>
      <c r="F268" s="283" t="s">
        <v>13177</v>
      </c>
      <c r="H268" s="209" t="s">
        <v>1627</v>
      </c>
      <c r="I268" s="209" t="s">
        <v>11458</v>
      </c>
      <c r="J268" s="231" t="str">
        <f t="shared" si="10"/>
        <v>GoldSOLAR CHEMICALAPPLIED MATERIALS TECHNOLOGY (KUN SHAN)</v>
      </c>
      <c r="K268" s="231" t="str">
        <f t="shared" si="11"/>
        <v>GoldSOLAR CHEMICALAPPLIED MATERIALS TECHNOLOGY (KUN SHAN)</v>
      </c>
    </row>
    <row r="269" spans="1:11">
      <c r="A269" s="209" t="s">
        <v>1098</v>
      </c>
      <c r="B269" s="209" t="s">
        <v>30</v>
      </c>
      <c r="C269" s="209" t="s">
        <v>886</v>
      </c>
      <c r="D269" s="209" t="s">
        <v>2383</v>
      </c>
      <c r="E269" s="209" t="s">
        <v>711</v>
      </c>
      <c r="F269" s="283" t="s">
        <v>13177</v>
      </c>
      <c r="H269" s="209" t="s">
        <v>1627</v>
      </c>
      <c r="I269" s="209" t="s">
        <v>11458</v>
      </c>
      <c r="J269" s="231" t="str">
        <f t="shared" si="10"/>
        <v>GoldSolartech</v>
      </c>
      <c r="K269" s="231" t="str">
        <f t="shared" si="11"/>
        <v>GoldSolartech</v>
      </c>
    </row>
    <row r="270" spans="1:11">
      <c r="A270" s="209" t="s">
        <v>1098</v>
      </c>
      <c r="B270" s="209" t="s">
        <v>13707</v>
      </c>
      <c r="C270" s="209" t="s">
        <v>13707</v>
      </c>
      <c r="D270" s="209" t="s">
        <v>1075</v>
      </c>
      <c r="E270" s="209" t="s">
        <v>13708</v>
      </c>
      <c r="F270" s="283" t="s">
        <v>13177</v>
      </c>
      <c r="H270" s="209" t="s">
        <v>14984</v>
      </c>
      <c r="I270" s="209" t="s">
        <v>15380</v>
      </c>
      <c r="J270" s="231" t="str">
        <f t="shared" si="10"/>
        <v>GoldSovereign Metals</v>
      </c>
      <c r="K270" s="231" t="str">
        <f t="shared" si="11"/>
        <v>GoldSovereign Metals</v>
      </c>
    </row>
    <row r="271" spans="1:11">
      <c r="A271" s="209" t="s">
        <v>1098</v>
      </c>
      <c r="B271" s="209" t="s">
        <v>2471</v>
      </c>
      <c r="C271" s="209" t="s">
        <v>2471</v>
      </c>
      <c r="D271" s="209" t="s">
        <v>1081</v>
      </c>
      <c r="E271" s="209" t="s">
        <v>2472</v>
      </c>
      <c r="F271" s="283"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c r="A272" s="209" t="s">
        <v>1098</v>
      </c>
      <c r="B272" s="209" t="s">
        <v>1673</v>
      </c>
      <c r="C272" s="209" t="s">
        <v>1673</v>
      </c>
      <c r="D272" s="209" t="s">
        <v>856</v>
      </c>
      <c r="E272" s="209" t="s">
        <v>1674</v>
      </c>
      <c r="F272" s="283" t="s">
        <v>13177</v>
      </c>
      <c r="H272" s="209" t="s">
        <v>1675</v>
      </c>
      <c r="I272" s="209" t="s">
        <v>1675</v>
      </c>
      <c r="J272" s="231" t="str">
        <f t="shared" si="10"/>
        <v>GoldSudan Gold Refinery</v>
      </c>
      <c r="K272" s="231" t="str">
        <f t="shared" si="11"/>
        <v>GoldSudan Gold Refinery</v>
      </c>
    </row>
    <row r="273" spans="1:11">
      <c r="A273" s="209" t="s">
        <v>1098</v>
      </c>
      <c r="B273" s="209" t="s">
        <v>2176</v>
      </c>
      <c r="C273" s="209" t="s">
        <v>54</v>
      </c>
      <c r="D273" s="209" t="s">
        <v>1077</v>
      </c>
      <c r="E273" s="209" t="s">
        <v>712</v>
      </c>
      <c r="F273" s="283" t="s">
        <v>13177</v>
      </c>
      <c r="H273" s="209" t="s">
        <v>1628</v>
      </c>
      <c r="I273" s="209" t="s">
        <v>2165</v>
      </c>
      <c r="J273" s="231" t="str">
        <f t="shared" si="10"/>
        <v>GoldSumitomo Kinzoku Kozan K.K.</v>
      </c>
      <c r="K273" s="231" t="str">
        <f t="shared" si="11"/>
        <v>GoldSumitomo Kinzoku Kozan K.K.</v>
      </c>
    </row>
    <row r="274" spans="1:11">
      <c r="A274" s="209" t="s">
        <v>1098</v>
      </c>
      <c r="B274" s="209" t="s">
        <v>54</v>
      </c>
      <c r="C274" s="209" t="s">
        <v>54</v>
      </c>
      <c r="D274" s="209" t="s">
        <v>1077</v>
      </c>
      <c r="E274" s="209" t="s">
        <v>712</v>
      </c>
      <c r="F274" s="283" t="s">
        <v>13177</v>
      </c>
      <c r="H274" s="209" t="s">
        <v>1628</v>
      </c>
      <c r="I274" s="209" t="s">
        <v>2165</v>
      </c>
      <c r="J274" s="231" t="str">
        <f t="shared" si="10"/>
        <v>GoldSumitomo Metal Mining Co., Ltd.</v>
      </c>
      <c r="K274" s="231" t="str">
        <f t="shared" si="11"/>
        <v>GoldSumitomo Metal Mining Co., Ltd.</v>
      </c>
    </row>
    <row r="275" spans="1:11">
      <c r="A275" s="209" t="s">
        <v>1098</v>
      </c>
      <c r="B275" s="209" t="s">
        <v>12872</v>
      </c>
      <c r="C275" s="209" t="s">
        <v>12872</v>
      </c>
      <c r="D275" s="209" t="s">
        <v>1080</v>
      </c>
      <c r="E275" s="209" t="s">
        <v>2404</v>
      </c>
      <c r="F275" s="283" t="s">
        <v>13177</v>
      </c>
      <c r="H275" s="209" t="s">
        <v>12885</v>
      </c>
      <c r="I275" s="209" t="s">
        <v>12821</v>
      </c>
      <c r="J275" s="231" t="str">
        <f t="shared" ref="J275:J338" si="12">A275&amp;B275</f>
        <v>GoldSungEel HiMetal Co., Ltd.</v>
      </c>
      <c r="K275" s="231" t="str">
        <f t="shared" ref="K275:K338" si="13">A275&amp;B275</f>
        <v>GoldSungEel HiMetal Co., Ltd.</v>
      </c>
    </row>
    <row r="276" spans="1:11">
      <c r="A276" s="209" t="s">
        <v>1098</v>
      </c>
      <c r="B276" s="209" t="s">
        <v>2405</v>
      </c>
      <c r="C276" s="209" t="s">
        <v>12872</v>
      </c>
      <c r="D276" s="209" t="s">
        <v>1080</v>
      </c>
      <c r="E276" s="209" t="s">
        <v>2404</v>
      </c>
      <c r="F276" s="283" t="s">
        <v>13177</v>
      </c>
      <c r="H276" s="209" t="s">
        <v>12885</v>
      </c>
      <c r="I276" s="209" t="s">
        <v>12821</v>
      </c>
      <c r="J276" s="231" t="str">
        <f t="shared" si="12"/>
        <v>GoldSungEel HiTech</v>
      </c>
      <c r="K276" s="231" t="str">
        <f t="shared" si="13"/>
        <v>GoldSungEel HiTech</v>
      </c>
    </row>
    <row r="277" spans="1:11">
      <c r="A277" s="209" t="s">
        <v>1098</v>
      </c>
      <c r="B277" s="209" t="s">
        <v>15293</v>
      </c>
      <c r="C277" s="209" t="s">
        <v>15293</v>
      </c>
      <c r="D277" s="209" t="s">
        <v>2383</v>
      </c>
      <c r="E277" s="209" t="s">
        <v>15294</v>
      </c>
      <c r="F277" s="283" t="s">
        <v>13177</v>
      </c>
      <c r="H277" s="209" t="s">
        <v>1665</v>
      </c>
      <c r="I277" s="209" t="s">
        <v>1665</v>
      </c>
      <c r="J277" s="231" t="str">
        <f t="shared" si="12"/>
        <v>GoldSuper Dragon Technology Co., Ltd.</v>
      </c>
      <c r="K277" s="231" t="str">
        <f t="shared" si="13"/>
        <v>GoldSuper Dragon Technology Co., Ltd.</v>
      </c>
    </row>
    <row r="278" spans="1:11">
      <c r="A278" s="209" t="s">
        <v>1098</v>
      </c>
      <c r="B278" s="209" t="s">
        <v>2168</v>
      </c>
      <c r="C278" s="209" t="s">
        <v>2168</v>
      </c>
      <c r="D278" s="209" t="s">
        <v>1076</v>
      </c>
      <c r="E278" s="209" t="s">
        <v>1676</v>
      </c>
      <c r="F278" s="283" t="s">
        <v>13177</v>
      </c>
      <c r="H278" s="209" t="s">
        <v>1677</v>
      </c>
      <c r="I278" s="209" t="s">
        <v>6417</v>
      </c>
      <c r="J278" s="231" t="str">
        <f t="shared" si="12"/>
        <v>GoldT.C.A S.p.A</v>
      </c>
      <c r="K278" s="231" t="str">
        <f t="shared" si="13"/>
        <v>GoldT.C.A S.p.A</v>
      </c>
    </row>
    <row r="279" spans="1:11">
      <c r="A279" s="209" t="s">
        <v>1098</v>
      </c>
      <c r="B279" s="209" t="s">
        <v>2261</v>
      </c>
      <c r="C279" s="209" t="s">
        <v>1196</v>
      </c>
      <c r="D279" s="209" t="s">
        <v>1077</v>
      </c>
      <c r="E279" s="209" t="s">
        <v>692</v>
      </c>
      <c r="F279" s="283" t="s">
        <v>13177</v>
      </c>
      <c r="H279" s="209" t="s">
        <v>1594</v>
      </c>
      <c r="I279" s="209" t="s">
        <v>1593</v>
      </c>
      <c r="J279" s="231" t="str">
        <f t="shared" si="12"/>
        <v>GoldTakehara Refinery</v>
      </c>
      <c r="K279" s="231" t="str">
        <f t="shared" si="13"/>
        <v>GoldTakehara Refinery</v>
      </c>
    </row>
    <row r="280" spans="1:11">
      <c r="A280" s="209" t="s">
        <v>1098</v>
      </c>
      <c r="B280" s="209" t="s">
        <v>2253</v>
      </c>
      <c r="C280" s="209" t="s">
        <v>52</v>
      </c>
      <c r="D280" s="209" t="s">
        <v>1077</v>
      </c>
      <c r="E280" s="209" t="s">
        <v>673</v>
      </c>
      <c r="F280" s="283" t="s">
        <v>13177</v>
      </c>
      <c r="H280" s="209" t="s">
        <v>2314</v>
      </c>
      <c r="I280" s="209" t="s">
        <v>6611</v>
      </c>
      <c r="J280" s="231" t="str">
        <f t="shared" si="12"/>
        <v>GoldTamano Smelter</v>
      </c>
      <c r="K280" s="231" t="str">
        <f t="shared" si="13"/>
        <v>GoldTamano Smelter</v>
      </c>
    </row>
    <row r="281" spans="1:11">
      <c r="A281" s="209" t="s">
        <v>1098</v>
      </c>
      <c r="B281" s="209" t="s">
        <v>2177</v>
      </c>
      <c r="C281" s="209" t="s">
        <v>1199</v>
      </c>
      <c r="D281" s="209" t="s">
        <v>1077</v>
      </c>
      <c r="E281" s="209" t="s">
        <v>713</v>
      </c>
      <c r="F281" s="283" t="s">
        <v>13177</v>
      </c>
      <c r="H281" s="209" t="s">
        <v>1629</v>
      </c>
      <c r="I281" s="209" t="s">
        <v>1630</v>
      </c>
      <c r="J281" s="231" t="str">
        <f t="shared" si="12"/>
        <v>GoldTanaka Denshi Kogyo K.K</v>
      </c>
      <c r="K281" s="231" t="str">
        <f t="shared" si="13"/>
        <v>GoldTanaka Denshi Kogyo K.K</v>
      </c>
    </row>
    <row r="282" spans="1:11">
      <c r="A282" s="209" t="s">
        <v>1098</v>
      </c>
      <c r="B282" s="209" t="s">
        <v>2276</v>
      </c>
      <c r="C282" s="209" t="s">
        <v>1199</v>
      </c>
      <c r="D282" s="209" t="s">
        <v>1077</v>
      </c>
      <c r="E282" s="209" t="s">
        <v>713</v>
      </c>
      <c r="F282" s="283" t="s">
        <v>13177</v>
      </c>
      <c r="H282" s="209" t="s">
        <v>1629</v>
      </c>
      <c r="I282" s="209" t="s">
        <v>1630</v>
      </c>
      <c r="J282" s="231" t="str">
        <f t="shared" si="12"/>
        <v>GoldTanaka Electronics (Hong Kong) Pte. Ltd.</v>
      </c>
      <c r="K282" s="231" t="str">
        <f t="shared" si="13"/>
        <v>GoldTanaka Electronics (Hong Kong) Pte. Ltd.</v>
      </c>
    </row>
    <row r="283" spans="1:11">
      <c r="A283" s="209" t="s">
        <v>1098</v>
      </c>
      <c r="B283" s="209" t="s">
        <v>2297</v>
      </c>
      <c r="C283" s="209" t="s">
        <v>1199</v>
      </c>
      <c r="D283" s="209" t="s">
        <v>1077</v>
      </c>
      <c r="E283" s="209" t="s">
        <v>713</v>
      </c>
      <c r="F283" s="283" t="s">
        <v>13177</v>
      </c>
      <c r="H283" s="209" t="s">
        <v>1629</v>
      </c>
      <c r="I283" s="209" t="s">
        <v>1630</v>
      </c>
      <c r="J283" s="231" t="str">
        <f t="shared" si="12"/>
        <v>GoldTANAKA Electronics (Malaysia) SDN. BHD.</v>
      </c>
      <c r="K283" s="231" t="str">
        <f t="shared" si="13"/>
        <v>GoldTANAKA Electronics (Malaysia) SDN. BHD.</v>
      </c>
    </row>
    <row r="284" spans="1:11">
      <c r="A284" s="209" t="s">
        <v>1098</v>
      </c>
      <c r="B284" s="209" t="s">
        <v>2277</v>
      </c>
      <c r="C284" s="209" t="s">
        <v>1199</v>
      </c>
      <c r="D284" s="209" t="s">
        <v>1077</v>
      </c>
      <c r="E284" s="209" t="s">
        <v>713</v>
      </c>
      <c r="F284" s="283" t="s">
        <v>13177</v>
      </c>
      <c r="H284" s="209" t="s">
        <v>1629</v>
      </c>
      <c r="I284" s="209" t="s">
        <v>1630</v>
      </c>
      <c r="J284" s="231" t="str">
        <f t="shared" si="12"/>
        <v>GoldTanaka Electronics (Singapore) Pte. Ltd.</v>
      </c>
      <c r="K284" s="231" t="str">
        <f t="shared" si="13"/>
        <v>GoldTanaka Electronics (Singapore) Pte. Ltd.</v>
      </c>
    </row>
    <row r="285" spans="1:11">
      <c r="A285" s="209" t="s">
        <v>1098</v>
      </c>
      <c r="B285" s="209" t="s">
        <v>1631</v>
      </c>
      <c r="C285" s="209" t="s">
        <v>1199</v>
      </c>
      <c r="D285" s="209" t="s">
        <v>1077</v>
      </c>
      <c r="E285" s="209" t="s">
        <v>713</v>
      </c>
      <c r="F285" s="283" t="s">
        <v>13177</v>
      </c>
      <c r="H285" s="209" t="s">
        <v>1629</v>
      </c>
      <c r="I285" s="209" t="s">
        <v>1630</v>
      </c>
      <c r="J285" s="231" t="str">
        <f t="shared" si="12"/>
        <v>GoldTanaka Kikinzoku International</v>
      </c>
      <c r="K285" s="231" t="str">
        <f t="shared" si="13"/>
        <v>GoldTanaka Kikinzoku International</v>
      </c>
    </row>
    <row r="286" spans="1:11">
      <c r="A286" s="209" t="s">
        <v>1098</v>
      </c>
      <c r="B286" s="209" t="s">
        <v>2278</v>
      </c>
      <c r="C286" s="209" t="s">
        <v>1199</v>
      </c>
      <c r="D286" s="209" t="s">
        <v>1077</v>
      </c>
      <c r="E286" s="209" t="s">
        <v>713</v>
      </c>
      <c r="F286" s="283" t="s">
        <v>13177</v>
      </c>
      <c r="H286" s="209" t="s">
        <v>1629</v>
      </c>
      <c r="I286" s="209" t="s">
        <v>1630</v>
      </c>
      <c r="J286" s="231" t="str">
        <f t="shared" si="12"/>
        <v>GoldTanaka Kikinzoku Kogyo K.K</v>
      </c>
      <c r="K286" s="231" t="str">
        <f t="shared" si="13"/>
        <v>GoldTanaka Kikinzoku Kogyo K.K</v>
      </c>
    </row>
    <row r="287" spans="1:11">
      <c r="A287" s="209" t="s">
        <v>1098</v>
      </c>
      <c r="B287" s="209" t="s">
        <v>1199</v>
      </c>
      <c r="C287" s="209" t="s">
        <v>1199</v>
      </c>
      <c r="D287" s="209" t="s">
        <v>1077</v>
      </c>
      <c r="E287" s="209" t="s">
        <v>713</v>
      </c>
      <c r="F287" s="283" t="s">
        <v>13177</v>
      </c>
      <c r="H287" s="209" t="s">
        <v>1629</v>
      </c>
      <c r="I287" s="209" t="s">
        <v>1630</v>
      </c>
      <c r="J287" s="231" t="str">
        <f t="shared" si="12"/>
        <v>GoldTanaka Kikinzoku Kogyo K.K.</v>
      </c>
      <c r="K287" s="231" t="str">
        <f t="shared" si="13"/>
        <v>GoldTanaka Kikinzoku Kogyo K.K.</v>
      </c>
    </row>
    <row r="288" spans="1:11">
      <c r="A288" s="209" t="s">
        <v>1098</v>
      </c>
      <c r="B288" s="209" t="s">
        <v>1632</v>
      </c>
      <c r="C288" s="209" t="s">
        <v>1199</v>
      </c>
      <c r="D288" s="209" t="s">
        <v>1077</v>
      </c>
      <c r="E288" s="209" t="s">
        <v>713</v>
      </c>
      <c r="F288" s="283" t="s">
        <v>13177</v>
      </c>
      <c r="H288" s="209" t="s">
        <v>1629</v>
      </c>
      <c r="I288" s="209" t="s">
        <v>1630</v>
      </c>
      <c r="J288" s="231" t="str">
        <f t="shared" si="12"/>
        <v>GoldTanaka Precious Metals</v>
      </c>
      <c r="K288" s="231" t="str">
        <f t="shared" si="13"/>
        <v>GoldTanaka Precious Metals</v>
      </c>
    </row>
    <row r="289" spans="1:11">
      <c r="A289" s="209" t="s">
        <v>1098</v>
      </c>
      <c r="B289" s="209" t="s">
        <v>609</v>
      </c>
      <c r="C289" s="209" t="s">
        <v>2169</v>
      </c>
      <c r="D289" s="209" t="s">
        <v>1069</v>
      </c>
      <c r="E289" s="209" t="s">
        <v>714</v>
      </c>
      <c r="F289" s="283" t="s">
        <v>13177</v>
      </c>
      <c r="H289" s="209" t="s">
        <v>1625</v>
      </c>
      <c r="I289" s="209" t="s">
        <v>13538</v>
      </c>
      <c r="J289" s="231" t="str">
        <f t="shared" si="12"/>
        <v>GoldThe Great Wall Gold and Silver Refinery of China</v>
      </c>
      <c r="K289" s="231" t="str">
        <f t="shared" si="13"/>
        <v>GoldThe Great Wall Gold and Silver Refinery of China</v>
      </c>
    </row>
    <row r="290" spans="1:11">
      <c r="A290" s="209" t="s">
        <v>1098</v>
      </c>
      <c r="B290" s="209" t="s">
        <v>989</v>
      </c>
      <c r="C290" s="209" t="s">
        <v>2440</v>
      </c>
      <c r="D290" s="209" t="s">
        <v>1062</v>
      </c>
      <c r="E290" s="209" t="s">
        <v>722</v>
      </c>
      <c r="F290" s="283" t="s">
        <v>13177</v>
      </c>
      <c r="H290" s="209" t="s">
        <v>1645</v>
      </c>
      <c r="I290" s="209" t="s">
        <v>1646</v>
      </c>
      <c r="J290" s="231" t="str">
        <f t="shared" si="12"/>
        <v>GoldThe Perth Mint</v>
      </c>
      <c r="K290" s="231" t="str">
        <f t="shared" si="13"/>
        <v>GoldThe Perth Mint</v>
      </c>
    </row>
    <row r="291" spans="1:11">
      <c r="A291" s="209" t="s">
        <v>1098</v>
      </c>
      <c r="B291" s="209" t="s">
        <v>2116</v>
      </c>
      <c r="C291" s="209" t="s">
        <v>14918</v>
      </c>
      <c r="D291" s="209" t="s">
        <v>1069</v>
      </c>
      <c r="E291" s="209" t="s">
        <v>715</v>
      </c>
      <c r="F291" s="283" t="s">
        <v>13177</v>
      </c>
      <c r="H291" s="209" t="s">
        <v>1621</v>
      </c>
      <c r="I291" s="209" t="s">
        <v>13532</v>
      </c>
      <c r="J291" s="231" t="str">
        <f t="shared" si="12"/>
        <v>GoldThe Refinery of Shandong Gold Mining Co., Ltd.</v>
      </c>
      <c r="K291" s="231" t="str">
        <f t="shared" si="13"/>
        <v>GoldThe Refinery of Shandong Gold Mining Co., Ltd.</v>
      </c>
    </row>
    <row r="292" spans="1:11">
      <c r="A292" s="209" t="s">
        <v>1098</v>
      </c>
      <c r="B292" s="209" t="s">
        <v>15678</v>
      </c>
      <c r="C292" s="209" t="s">
        <v>15678</v>
      </c>
      <c r="D292" s="209" t="s">
        <v>1075</v>
      </c>
      <c r="E292" s="209" t="s">
        <v>15679</v>
      </c>
      <c r="F292" s="283" t="s">
        <v>13177</v>
      </c>
      <c r="H292" s="209" t="s">
        <v>15721</v>
      </c>
      <c r="I292" s="209" t="s">
        <v>15389</v>
      </c>
      <c r="J292" s="231" t="str">
        <f t="shared" si="12"/>
        <v>GoldTITAN COMPANY LIMITED, JEWELLERY DIVISION</v>
      </c>
      <c r="K292" s="231" t="str">
        <f t="shared" si="13"/>
        <v>GoldTITAN COMPANY LIMITED, JEWELLERY DIVISION</v>
      </c>
    </row>
    <row r="293" spans="1:11">
      <c r="A293" s="209" t="s">
        <v>1098</v>
      </c>
      <c r="B293" s="209" t="s">
        <v>2117</v>
      </c>
      <c r="C293" s="209" t="s">
        <v>2117</v>
      </c>
      <c r="D293" s="209" t="s">
        <v>1077</v>
      </c>
      <c r="E293" s="209" t="s">
        <v>716</v>
      </c>
      <c r="F293" s="283" t="s">
        <v>13177</v>
      </c>
      <c r="H293" s="209" t="s">
        <v>1635</v>
      </c>
      <c r="I293" s="209" t="s">
        <v>1547</v>
      </c>
      <c r="J293" s="231" t="str">
        <f t="shared" si="12"/>
        <v>GoldTokuriki Honten Co., Ltd.</v>
      </c>
      <c r="K293" s="231" t="str">
        <f t="shared" si="13"/>
        <v>GoldTokuriki Honten Co., Ltd.</v>
      </c>
    </row>
    <row r="294" spans="1:11">
      <c r="A294" s="209" t="s">
        <v>1098</v>
      </c>
      <c r="B294" s="209" t="s">
        <v>2150</v>
      </c>
      <c r="C294" s="209" t="s">
        <v>2150</v>
      </c>
      <c r="D294" s="209" t="s">
        <v>1069</v>
      </c>
      <c r="E294" s="209" t="s">
        <v>717</v>
      </c>
      <c r="F294" s="283" t="s">
        <v>13177</v>
      </c>
      <c r="H294" s="209" t="s">
        <v>1636</v>
      </c>
      <c r="I294" s="209" t="s">
        <v>13529</v>
      </c>
      <c r="J294" s="231" t="str">
        <f t="shared" si="12"/>
        <v>GoldTongling Nonferrous Metals Group Co., Ltd.</v>
      </c>
      <c r="K294" s="231" t="str">
        <f t="shared" si="13"/>
        <v>GoldTongling Nonferrous Metals Group Co., Ltd.</v>
      </c>
    </row>
    <row r="295" spans="1:11">
      <c r="A295" s="209" t="s">
        <v>1098</v>
      </c>
      <c r="B295" s="209" t="s">
        <v>1638</v>
      </c>
      <c r="C295" s="209" t="s">
        <v>2150</v>
      </c>
      <c r="D295" s="209" t="s">
        <v>1069</v>
      </c>
      <c r="E295" s="209" t="s">
        <v>717</v>
      </c>
      <c r="F295" s="283" t="s">
        <v>13177</v>
      </c>
      <c r="H295" s="209" t="s">
        <v>1636</v>
      </c>
      <c r="I295" s="209" t="s">
        <v>13529</v>
      </c>
      <c r="J295" s="231" t="str">
        <f t="shared" si="12"/>
        <v>GoldTongLing Nonferrous Metals Group Holdings Co., Ltd.</v>
      </c>
      <c r="K295" s="231" t="str">
        <f t="shared" si="13"/>
        <v>GoldTongLing Nonferrous Metals Group Holdings Co., Ltd.</v>
      </c>
    </row>
    <row r="296" spans="1:11">
      <c r="A296" s="209" t="s">
        <v>1098</v>
      </c>
      <c r="B296" s="209" t="s">
        <v>2213</v>
      </c>
      <c r="C296" s="209" t="s">
        <v>14929</v>
      </c>
      <c r="D296" s="209" t="s">
        <v>1064</v>
      </c>
      <c r="E296" s="209" t="s">
        <v>2214</v>
      </c>
      <c r="F296" s="283" t="s">
        <v>13177</v>
      </c>
      <c r="H296" s="209" t="s">
        <v>1642</v>
      </c>
      <c r="I296" s="209" t="s">
        <v>3104</v>
      </c>
      <c r="J296" s="231" t="str">
        <f t="shared" si="12"/>
        <v>GoldTony Goetz NV</v>
      </c>
      <c r="K296" s="231" t="str">
        <f t="shared" si="13"/>
        <v>GoldTony Goetz NV</v>
      </c>
    </row>
    <row r="297" spans="1:11">
      <c r="A297" s="209" t="s">
        <v>1098</v>
      </c>
      <c r="B297" s="209" t="s">
        <v>2279</v>
      </c>
      <c r="C297" s="209" t="s">
        <v>2279</v>
      </c>
      <c r="D297" s="209" t="s">
        <v>1078</v>
      </c>
      <c r="E297" s="209" t="s">
        <v>2280</v>
      </c>
      <c r="F297" s="283" t="s">
        <v>13177</v>
      </c>
      <c r="H297" s="209" t="s">
        <v>2281</v>
      </c>
      <c r="I297" s="209" t="s">
        <v>2282</v>
      </c>
      <c r="J297" s="231" t="str">
        <f t="shared" si="12"/>
        <v>GoldTOO Tau-Ken-Altyn</v>
      </c>
      <c r="K297" s="231" t="str">
        <f t="shared" si="13"/>
        <v>GoldTOO Tau-Ken-Altyn</v>
      </c>
    </row>
    <row r="298" spans="1:11">
      <c r="A298" s="209" t="s">
        <v>1098</v>
      </c>
      <c r="B298" s="209" t="s">
        <v>593</v>
      </c>
      <c r="C298" s="209" t="s">
        <v>593</v>
      </c>
      <c r="D298" s="209" t="s">
        <v>1080</v>
      </c>
      <c r="E298" s="209" t="s">
        <v>718</v>
      </c>
      <c r="F298" s="283" t="s">
        <v>13177</v>
      </c>
      <c r="H298" s="209" t="s">
        <v>1639</v>
      </c>
      <c r="I298" s="209" t="s">
        <v>12816</v>
      </c>
      <c r="J298" s="231" t="str">
        <f t="shared" si="12"/>
        <v>GoldTorecom</v>
      </c>
      <c r="K298" s="231" t="str">
        <f t="shared" si="13"/>
        <v>GoldTorecom</v>
      </c>
    </row>
    <row r="299" spans="1:11">
      <c r="A299" s="209" t="s">
        <v>1098</v>
      </c>
      <c r="B299" s="209" t="s">
        <v>15295</v>
      </c>
      <c r="C299" s="209" t="s">
        <v>2460</v>
      </c>
      <c r="D299" s="209" t="s">
        <v>1065</v>
      </c>
      <c r="E299" s="209" t="s">
        <v>2461</v>
      </c>
      <c r="F299" s="283" t="s">
        <v>13177</v>
      </c>
      <c r="H299" s="209" t="s">
        <v>2462</v>
      </c>
      <c r="I299" s="209" t="s">
        <v>1640</v>
      </c>
      <c r="J299" s="231" t="str">
        <f t="shared" si="12"/>
        <v>GoldUbro-Union of Brazilian Refiners</v>
      </c>
      <c r="K299" s="231" t="str">
        <f t="shared" si="13"/>
        <v>GoldUbro-Union of Brazilian Refiners</v>
      </c>
    </row>
    <row r="300" spans="1:11">
      <c r="A300" s="209" t="s">
        <v>1098</v>
      </c>
      <c r="B300" s="209" t="s">
        <v>2474</v>
      </c>
      <c r="C300" s="209" t="s">
        <v>2283</v>
      </c>
      <c r="D300" s="209" t="s">
        <v>1064</v>
      </c>
      <c r="E300" s="209" t="s">
        <v>719</v>
      </c>
      <c r="F300" s="283" t="s">
        <v>13177</v>
      </c>
      <c r="H300" s="209" t="s">
        <v>1641</v>
      </c>
      <c r="I300" s="209" t="s">
        <v>3104</v>
      </c>
      <c r="J300" s="231" t="str">
        <f t="shared" si="12"/>
        <v>GoldUmicore Precious Metals Refining Hoboken</v>
      </c>
      <c r="K300" s="231" t="str">
        <f t="shared" si="13"/>
        <v>GoldUmicore Precious Metals Refining Hoboken</v>
      </c>
    </row>
    <row r="301" spans="1:11">
      <c r="A301" s="209" t="s">
        <v>1098</v>
      </c>
      <c r="B301" s="209" t="s">
        <v>138</v>
      </c>
      <c r="C301" s="209" t="s">
        <v>138</v>
      </c>
      <c r="D301" s="209" t="s">
        <v>859</v>
      </c>
      <c r="E301" s="209" t="s">
        <v>139</v>
      </c>
      <c r="F301" s="283" t="s">
        <v>13177</v>
      </c>
      <c r="H301" s="209" t="s">
        <v>12354</v>
      </c>
      <c r="I301" s="209" t="s">
        <v>11002</v>
      </c>
      <c r="J301" s="231" t="str">
        <f t="shared" si="12"/>
        <v>GoldUmicore Precious Metals Thailand</v>
      </c>
      <c r="K301" s="231" t="str">
        <f t="shared" si="13"/>
        <v>GoldUmicore Precious Metals Thailand</v>
      </c>
    </row>
    <row r="302" spans="1:11">
      <c r="A302" s="209" t="s">
        <v>1098</v>
      </c>
      <c r="B302" s="209" t="s">
        <v>2283</v>
      </c>
      <c r="C302" s="209" t="s">
        <v>2283</v>
      </c>
      <c r="D302" s="209" t="s">
        <v>1064</v>
      </c>
      <c r="E302" s="209" t="s">
        <v>719</v>
      </c>
      <c r="F302" s="283" t="s">
        <v>13177</v>
      </c>
      <c r="H302" s="209" t="s">
        <v>1641</v>
      </c>
      <c r="I302" s="209" t="s">
        <v>3104</v>
      </c>
      <c r="J302" s="231" t="str">
        <f t="shared" si="12"/>
        <v>GoldUmicore S.A. Business Unit Precious Metals Refining</v>
      </c>
      <c r="K302" s="231" t="str">
        <f t="shared" si="13"/>
        <v>GoldUmicore S.A. Business Unit Precious Metals Refining</v>
      </c>
    </row>
    <row r="303" spans="1:11">
      <c r="A303" s="209" t="s">
        <v>1098</v>
      </c>
      <c r="B303" s="209" t="s">
        <v>792</v>
      </c>
      <c r="C303" s="209" t="s">
        <v>792</v>
      </c>
      <c r="D303" s="209" t="s">
        <v>2384</v>
      </c>
      <c r="E303" s="209" t="s">
        <v>720</v>
      </c>
      <c r="F303" s="283" t="s">
        <v>13177</v>
      </c>
      <c r="H303" s="209" t="s">
        <v>1643</v>
      </c>
      <c r="I303" s="209" t="s">
        <v>1583</v>
      </c>
      <c r="J303" s="231" t="str">
        <f t="shared" si="12"/>
        <v>GoldUnited Precious Metal Refining, Inc.</v>
      </c>
      <c r="K303" s="231" t="str">
        <f t="shared" si="13"/>
        <v>GoldUnited Precious Metal Refining, Inc.</v>
      </c>
    </row>
    <row r="304" spans="1:11">
      <c r="A304" s="209" t="s">
        <v>1098</v>
      </c>
      <c r="B304" s="209" t="s">
        <v>2285</v>
      </c>
      <c r="C304" s="209" t="s">
        <v>2285</v>
      </c>
      <c r="D304" s="209" t="s">
        <v>1067</v>
      </c>
      <c r="E304" s="209" t="s">
        <v>721</v>
      </c>
      <c r="F304" s="283" t="s">
        <v>13177</v>
      </c>
      <c r="H304" s="209" t="s">
        <v>1644</v>
      </c>
      <c r="I304" s="209" t="s">
        <v>1517</v>
      </c>
      <c r="J304" s="231" t="str">
        <f t="shared" si="12"/>
        <v>GoldValcambi S.A.</v>
      </c>
      <c r="K304" s="231" t="str">
        <f t="shared" si="13"/>
        <v>GoldValcambi S.A.</v>
      </c>
    </row>
    <row r="305" spans="1:11">
      <c r="A305" s="209" t="s">
        <v>1098</v>
      </c>
      <c r="B305" s="209" t="s">
        <v>14943</v>
      </c>
      <c r="C305" s="209" t="s">
        <v>14943</v>
      </c>
      <c r="D305" s="209" t="s">
        <v>1073</v>
      </c>
      <c r="E305" s="209" t="s">
        <v>14944</v>
      </c>
      <c r="F305" s="283" t="s">
        <v>13177</v>
      </c>
      <c r="H305" s="209" t="s">
        <v>15296</v>
      </c>
      <c r="I305" s="209" t="s">
        <v>12785</v>
      </c>
      <c r="J305" s="231" t="str">
        <f t="shared" si="12"/>
        <v>GoldWEEEREFINING</v>
      </c>
      <c r="K305" s="231" t="str">
        <f t="shared" si="13"/>
        <v>GoldWEEEREFINING</v>
      </c>
    </row>
    <row r="306" spans="1:11">
      <c r="A306" s="209" t="s">
        <v>1098</v>
      </c>
      <c r="B306" s="209" t="s">
        <v>2440</v>
      </c>
      <c r="C306" s="209" t="s">
        <v>2440</v>
      </c>
      <c r="D306" s="209" t="s">
        <v>1062</v>
      </c>
      <c r="E306" s="209" t="s">
        <v>722</v>
      </c>
      <c r="F306" s="283" t="s">
        <v>13177</v>
      </c>
      <c r="H306" s="209" t="s">
        <v>1645</v>
      </c>
      <c r="I306" s="209" t="s">
        <v>1646</v>
      </c>
      <c r="J306" s="231" t="str">
        <f t="shared" si="12"/>
        <v>GoldWestern Australian Mint (T/a The Perth Mint)</v>
      </c>
      <c r="K306" s="231" t="str">
        <f t="shared" si="13"/>
        <v>GoldWestern Australian Mint (T/a The Perth Mint)</v>
      </c>
    </row>
    <row r="307" spans="1:11">
      <c r="A307" s="209" t="s">
        <v>1098</v>
      </c>
      <c r="B307" s="209" t="s">
        <v>2155</v>
      </c>
      <c r="C307" s="209" t="s">
        <v>2155</v>
      </c>
      <c r="D307" s="209" t="s">
        <v>1070</v>
      </c>
      <c r="E307" s="209" t="s">
        <v>2157</v>
      </c>
      <c r="F307" s="283" t="s">
        <v>13177</v>
      </c>
      <c r="H307" s="209" t="s">
        <v>1510</v>
      </c>
      <c r="I307" s="209" t="s">
        <v>1511</v>
      </c>
      <c r="J307" s="231" t="str">
        <f t="shared" si="12"/>
        <v>GoldWIELAND Edelmetalle GmbH</v>
      </c>
      <c r="K307" s="231" t="str">
        <f t="shared" si="13"/>
        <v>GoldWIELAND Edelmetalle GmbH</v>
      </c>
    </row>
    <row r="308" spans="1:11">
      <c r="A308" s="209" t="s">
        <v>1098</v>
      </c>
      <c r="B308" s="209" t="s">
        <v>31</v>
      </c>
      <c r="C308" s="209" t="s">
        <v>881</v>
      </c>
      <c r="D308" s="209" t="s">
        <v>2384</v>
      </c>
      <c r="E308" s="209" t="s">
        <v>684</v>
      </c>
      <c r="F308" s="283" t="s">
        <v>13177</v>
      </c>
      <c r="H308" s="209" t="s">
        <v>1582</v>
      </c>
      <c r="I308" s="209" t="s">
        <v>1583</v>
      </c>
      <c r="J308" s="231" t="str">
        <f t="shared" si="12"/>
        <v>GoldWilliams Advanced Materials</v>
      </c>
      <c r="K308" s="231" t="str">
        <f t="shared" si="13"/>
        <v>GoldWilliams Advanced Materials</v>
      </c>
    </row>
    <row r="309" spans="1:11">
      <c r="A309" s="209" t="s">
        <v>1098</v>
      </c>
      <c r="B309" s="209" t="s">
        <v>1531</v>
      </c>
      <c r="C309" s="209" t="s">
        <v>2192</v>
      </c>
      <c r="D309" s="209" t="s">
        <v>1066</v>
      </c>
      <c r="E309" s="209" t="s">
        <v>647</v>
      </c>
      <c r="F309" s="283" t="s">
        <v>13177</v>
      </c>
      <c r="H309" s="209" t="s">
        <v>1528</v>
      </c>
      <c r="I309" s="209" t="s">
        <v>1529</v>
      </c>
      <c r="J309" s="231" t="str">
        <f t="shared" si="12"/>
        <v>GoldXstrata</v>
      </c>
      <c r="K309" s="231" t="str">
        <f t="shared" si="13"/>
        <v>GoldXstrata</v>
      </c>
    </row>
    <row r="310" spans="1:11">
      <c r="A310" s="209" t="s">
        <v>1098</v>
      </c>
      <c r="B310" s="209" t="s">
        <v>12873</v>
      </c>
      <c r="C310" s="209" t="s">
        <v>12873</v>
      </c>
      <c r="D310" s="209" t="s">
        <v>1077</v>
      </c>
      <c r="E310" s="209" t="s">
        <v>723</v>
      </c>
      <c r="F310" s="283" t="s">
        <v>13177</v>
      </c>
      <c r="H310" s="209" t="s">
        <v>12886</v>
      </c>
      <c r="I310" s="209" t="s">
        <v>6574</v>
      </c>
      <c r="J310" s="231" t="str">
        <f t="shared" si="12"/>
        <v>GoldYamakin Co., Ltd.</v>
      </c>
      <c r="K310" s="231" t="str">
        <f t="shared" si="13"/>
        <v>GoldYamakin Co., Ltd.</v>
      </c>
    </row>
    <row r="311" spans="1:11">
      <c r="A311" s="209" t="s">
        <v>1098</v>
      </c>
      <c r="B311" s="209" t="s">
        <v>12874</v>
      </c>
      <c r="C311" s="209" t="s">
        <v>12873</v>
      </c>
      <c r="D311" s="209" t="s">
        <v>1077</v>
      </c>
      <c r="E311" s="209" t="s">
        <v>723</v>
      </c>
      <c r="F311" s="283" t="s">
        <v>13177</v>
      </c>
      <c r="H311" s="209" t="s">
        <v>12886</v>
      </c>
      <c r="I311" s="209" t="s">
        <v>6574</v>
      </c>
      <c r="J311" s="231" t="str">
        <f t="shared" si="12"/>
        <v>GoldYamamoto Precious Co., Ltd.</v>
      </c>
      <c r="K311" s="231" t="str">
        <f t="shared" si="13"/>
        <v>GoldYamamoto Precious Co., Ltd.</v>
      </c>
    </row>
    <row r="312" spans="1:11">
      <c r="A312" s="209" t="s">
        <v>1098</v>
      </c>
      <c r="B312" s="209" t="s">
        <v>2118</v>
      </c>
      <c r="C312" s="209" t="s">
        <v>12873</v>
      </c>
      <c r="D312" s="209" t="s">
        <v>1077</v>
      </c>
      <c r="E312" s="209" t="s">
        <v>723</v>
      </c>
      <c r="F312" s="283" t="s">
        <v>13177</v>
      </c>
      <c r="H312" s="209" t="s">
        <v>12886</v>
      </c>
      <c r="I312" s="209" t="s">
        <v>6574</v>
      </c>
      <c r="J312" s="231" t="str">
        <f t="shared" si="12"/>
        <v>GoldYamamoto Precious Metal Co., Ltd.</v>
      </c>
      <c r="K312" s="231" t="str">
        <f t="shared" si="13"/>
        <v>GoldYamamoto Precious Metal Co., Ltd.</v>
      </c>
    </row>
    <row r="313" spans="1:11">
      <c r="A313" s="209" t="s">
        <v>1098</v>
      </c>
      <c r="B313" s="209" t="s">
        <v>1650</v>
      </c>
      <c r="C313" s="209" t="s">
        <v>12873</v>
      </c>
      <c r="D313" s="209" t="s">
        <v>1077</v>
      </c>
      <c r="E313" s="209" t="s">
        <v>723</v>
      </c>
      <c r="F313" s="283" t="s">
        <v>13177</v>
      </c>
      <c r="H313" s="209" t="s">
        <v>12886</v>
      </c>
      <c r="I313" s="209" t="s">
        <v>6574</v>
      </c>
      <c r="J313" s="231" t="str">
        <f t="shared" si="12"/>
        <v>GoldYamamoto Precision Metals</v>
      </c>
      <c r="K313" s="231" t="str">
        <f t="shared" si="13"/>
        <v>GoldYamamoto Precision Metals</v>
      </c>
    </row>
    <row r="314" spans="1:11">
      <c r="A314" s="209" t="s">
        <v>1098</v>
      </c>
      <c r="B314" s="209" t="s">
        <v>1553</v>
      </c>
      <c r="C314" s="209" t="s">
        <v>1550</v>
      </c>
      <c r="D314" s="209" t="s">
        <v>1069</v>
      </c>
      <c r="E314" s="209" t="s">
        <v>1551</v>
      </c>
      <c r="F314" s="283" t="s">
        <v>13177</v>
      </c>
      <c r="H314" s="209" t="s">
        <v>1552</v>
      </c>
      <c r="I314" s="209" t="s">
        <v>13532</v>
      </c>
      <c r="J314" s="231" t="str">
        <f t="shared" si="12"/>
        <v>GoldYantai NUS Safina tech environmental Refinery Co. Ltd.</v>
      </c>
      <c r="K314" s="231" t="str">
        <f t="shared" si="13"/>
        <v>GoldYantai NUS Safina tech environmental Refinery Co. Ltd.</v>
      </c>
    </row>
    <row r="315" spans="1:11">
      <c r="A315" s="209" t="s">
        <v>1098</v>
      </c>
      <c r="B315" s="209" t="s">
        <v>15616</v>
      </c>
      <c r="C315" s="209" t="s">
        <v>15598</v>
      </c>
      <c r="D315" s="209" t="s">
        <v>2383</v>
      </c>
      <c r="E315" s="209" t="s">
        <v>15599</v>
      </c>
      <c r="F315" s="283" t="s">
        <v>13177</v>
      </c>
      <c r="H315" s="209" t="s">
        <v>15600</v>
      </c>
      <c r="I315" s="209" t="s">
        <v>11441</v>
      </c>
      <c r="J315" s="231" t="str">
        <f t="shared" si="12"/>
        <v>GoldYilida Resources Technology Co., Ltd.</v>
      </c>
      <c r="K315" s="231" t="str">
        <f t="shared" si="13"/>
        <v>GoldYilida Resources Technology Co., Ltd.</v>
      </c>
    </row>
    <row r="316" spans="1:11">
      <c r="A316" s="209" t="s">
        <v>1098</v>
      </c>
      <c r="B316" s="209" t="s">
        <v>2119</v>
      </c>
      <c r="C316" s="209" t="s">
        <v>2119</v>
      </c>
      <c r="D316" s="209" t="s">
        <v>1077</v>
      </c>
      <c r="E316" s="209" t="s">
        <v>724</v>
      </c>
      <c r="F316" s="283" t="s">
        <v>13177</v>
      </c>
      <c r="H316" s="209" t="s">
        <v>1651</v>
      </c>
      <c r="I316" s="209" t="s">
        <v>1630</v>
      </c>
      <c r="J316" s="231" t="str">
        <f t="shared" si="12"/>
        <v>GoldYokohama Metal Co., Ltd.</v>
      </c>
      <c r="K316" s="231" t="str">
        <f t="shared" si="13"/>
        <v>GoldYokohama Metal Co., Ltd.</v>
      </c>
    </row>
    <row r="317" spans="1:11">
      <c r="A317" s="209" t="s">
        <v>1098</v>
      </c>
      <c r="B317" s="209" t="s">
        <v>2097</v>
      </c>
      <c r="C317" s="209" t="s">
        <v>2097</v>
      </c>
      <c r="D317" s="209" t="s">
        <v>1069</v>
      </c>
      <c r="E317" s="209" t="s">
        <v>725</v>
      </c>
      <c r="F317" s="283" t="s">
        <v>13177</v>
      </c>
      <c r="H317" s="209" t="s">
        <v>1534</v>
      </c>
      <c r="I317" s="209" t="s">
        <v>13540</v>
      </c>
      <c r="J317" s="231" t="str">
        <f t="shared" si="12"/>
        <v>GoldYunnan Copper Industry Co., Ltd.</v>
      </c>
      <c r="K317" s="231" t="str">
        <f t="shared" si="13"/>
        <v>GoldYunnan Copper Industry Co., Ltd.</v>
      </c>
    </row>
    <row r="318" spans="1:11">
      <c r="A318" s="209" t="s">
        <v>1098</v>
      </c>
      <c r="B318" s="209" t="s">
        <v>32</v>
      </c>
      <c r="C318" s="209" t="s">
        <v>2114</v>
      </c>
      <c r="D318" s="209" t="s">
        <v>1069</v>
      </c>
      <c r="E318" s="209" t="s">
        <v>709</v>
      </c>
      <c r="F318" s="283" t="s">
        <v>13177</v>
      </c>
      <c r="H318" s="209" t="s">
        <v>1552</v>
      </c>
      <c r="I318" s="209" t="s">
        <v>13532</v>
      </c>
      <c r="J318" s="231" t="str">
        <f t="shared" si="12"/>
        <v>GoldZhao Jin Mining Industry Co Ltd</v>
      </c>
      <c r="K318" s="231" t="str">
        <f t="shared" si="13"/>
        <v>GoldZhao Jin Mining Industry Co Ltd</v>
      </c>
    </row>
    <row r="319" spans="1:11">
      <c r="A319" s="209" t="s">
        <v>1098</v>
      </c>
      <c r="B319" s="209" t="s">
        <v>33</v>
      </c>
      <c r="C319" s="209" t="s">
        <v>2114</v>
      </c>
      <c r="D319" s="209" t="s">
        <v>1069</v>
      </c>
      <c r="E319" s="209" t="s">
        <v>709</v>
      </c>
      <c r="F319" s="283" t="s">
        <v>13177</v>
      </c>
      <c r="H319" s="209" t="s">
        <v>1552</v>
      </c>
      <c r="I319" s="209" t="s">
        <v>13532</v>
      </c>
      <c r="J319" s="231" t="str">
        <f t="shared" si="12"/>
        <v>GoldZhao Yuan Gold Mine</v>
      </c>
      <c r="K319" s="231" t="str">
        <f t="shared" si="13"/>
        <v>GoldZhao Yuan Gold Mine</v>
      </c>
    </row>
    <row r="320" spans="1:11">
      <c r="A320" s="209" t="s">
        <v>1098</v>
      </c>
      <c r="B320" s="209" t="s">
        <v>1653</v>
      </c>
      <c r="C320" s="209" t="s">
        <v>2114</v>
      </c>
      <c r="D320" s="209" t="s">
        <v>1069</v>
      </c>
      <c r="E320" s="209" t="s">
        <v>709</v>
      </c>
      <c r="F320" s="283" t="s">
        <v>13177</v>
      </c>
      <c r="H320" s="209" t="s">
        <v>1552</v>
      </c>
      <c r="I320" s="209" t="s">
        <v>13532</v>
      </c>
      <c r="J320" s="231" t="str">
        <f t="shared" si="12"/>
        <v>GoldZhao Yuan Gold Smelter of ZhongJin</v>
      </c>
      <c r="K320" s="231" t="str">
        <f t="shared" si="13"/>
        <v>GoldZhao Yuan Gold Smelter of ZhongJin</v>
      </c>
    </row>
    <row r="321" spans="1:11">
      <c r="A321" s="209" t="s">
        <v>1098</v>
      </c>
      <c r="B321" s="209" t="s">
        <v>34</v>
      </c>
      <c r="C321" s="209" t="s">
        <v>2114</v>
      </c>
      <c r="D321" s="209" t="s">
        <v>1069</v>
      </c>
      <c r="E321" s="209" t="s">
        <v>709</v>
      </c>
      <c r="F321" s="283" t="s">
        <v>13177</v>
      </c>
      <c r="H321" s="209" t="s">
        <v>1552</v>
      </c>
      <c r="I321" s="209" t="s">
        <v>13532</v>
      </c>
      <c r="J321" s="231" t="str">
        <f t="shared" si="12"/>
        <v>GoldZhao Yuan Jin Kuang</v>
      </c>
      <c r="K321" s="231" t="str">
        <f t="shared" si="13"/>
        <v>GoldZhao Yuan Jin Kuang</v>
      </c>
    </row>
    <row r="322" spans="1:11">
      <c r="A322" s="209" t="s">
        <v>1098</v>
      </c>
      <c r="B322" s="209" t="s">
        <v>1624</v>
      </c>
      <c r="C322" s="209" t="s">
        <v>2114</v>
      </c>
      <c r="D322" s="209" t="s">
        <v>1069</v>
      </c>
      <c r="E322" s="209" t="s">
        <v>709</v>
      </c>
      <c r="F322" s="283" t="s">
        <v>13177</v>
      </c>
      <c r="H322" s="209" t="s">
        <v>1552</v>
      </c>
      <c r="I322" s="209" t="s">
        <v>13532</v>
      </c>
      <c r="J322" s="231" t="str">
        <f t="shared" si="12"/>
        <v>GoldZhaojin Mining Industry Co., Ltd.</v>
      </c>
      <c r="K322" s="231" t="str">
        <f t="shared" si="13"/>
        <v>GoldZhaojin Mining Industry Co., Ltd.</v>
      </c>
    </row>
    <row r="323" spans="1:11">
      <c r="A323" s="209" t="s">
        <v>1098</v>
      </c>
      <c r="B323" s="209" t="s">
        <v>2475</v>
      </c>
      <c r="C323" s="209" t="s">
        <v>2114</v>
      </c>
      <c r="D323" s="209" t="s">
        <v>1069</v>
      </c>
      <c r="E323" s="209" t="s">
        <v>709</v>
      </c>
      <c r="F323" s="283" t="s">
        <v>13177</v>
      </c>
      <c r="H323" s="209" t="s">
        <v>1552</v>
      </c>
      <c r="I323" s="209" t="s">
        <v>13532</v>
      </c>
      <c r="J323" s="231" t="str">
        <f t="shared" si="12"/>
        <v>Goldzhaojinjinyinyelian</v>
      </c>
      <c r="K323" s="231" t="str">
        <f t="shared" si="13"/>
        <v>Goldzhaojinjinyinyelian</v>
      </c>
    </row>
    <row r="324" spans="1:11">
      <c r="A324" s="209" t="s">
        <v>1098</v>
      </c>
      <c r="B324" s="209" t="s">
        <v>1654</v>
      </c>
      <c r="C324" s="209" t="s">
        <v>2114</v>
      </c>
      <c r="D324" s="209" t="s">
        <v>1069</v>
      </c>
      <c r="E324" s="209" t="s">
        <v>709</v>
      </c>
      <c r="F324" s="283" t="s">
        <v>13177</v>
      </c>
      <c r="H324" s="209" t="s">
        <v>1552</v>
      </c>
      <c r="I324" s="209" t="s">
        <v>13532</v>
      </c>
      <c r="J324" s="231" t="str">
        <f t="shared" si="12"/>
        <v>GoldZhaoyuan Gold Group</v>
      </c>
      <c r="K324" s="231" t="str">
        <f t="shared" si="13"/>
        <v>GoldZhaoyuan Gold Group</v>
      </c>
    </row>
    <row r="325" spans="1:11">
      <c r="A325" s="209" t="s">
        <v>1098</v>
      </c>
      <c r="B325" s="209" t="s">
        <v>1200</v>
      </c>
      <c r="C325" s="209" t="s">
        <v>1291</v>
      </c>
      <c r="D325" s="209" t="s">
        <v>1069</v>
      </c>
      <c r="E325" s="209" t="s">
        <v>726</v>
      </c>
      <c r="F325" s="283" t="s">
        <v>13177</v>
      </c>
      <c r="H325" s="209" t="s">
        <v>1652</v>
      </c>
      <c r="I325" s="209" t="s">
        <v>13533</v>
      </c>
      <c r="J325" s="231" t="str">
        <f t="shared" si="12"/>
        <v>GoldZhongjin Gold Corporation Limited</v>
      </c>
      <c r="K325" s="231" t="str">
        <f t="shared" si="13"/>
        <v>GoldZhongjin Gold Corporation Limited</v>
      </c>
    </row>
    <row r="326" spans="1:11">
      <c r="A326" s="209" t="s">
        <v>1098</v>
      </c>
      <c r="B326" s="209" t="s">
        <v>1291</v>
      </c>
      <c r="C326" s="209" t="s">
        <v>1291</v>
      </c>
      <c r="D326" s="209" t="s">
        <v>1069</v>
      </c>
      <c r="E326" s="209" t="s">
        <v>726</v>
      </c>
      <c r="F326" s="283" t="s">
        <v>13177</v>
      </c>
      <c r="H326" s="209" t="s">
        <v>1652</v>
      </c>
      <c r="I326" s="209" t="s">
        <v>13533</v>
      </c>
      <c r="J326" s="231" t="str">
        <f t="shared" si="12"/>
        <v>GoldZhongyuan Gold Smelter of Zhongjin Gold Corporation</v>
      </c>
      <c r="K326" s="231" t="str">
        <f t="shared" si="13"/>
        <v>GoldZhongyuan Gold Smelter of Zhongjin Gold Corporation</v>
      </c>
    </row>
    <row r="327" spans="1:11">
      <c r="A327" s="209" t="s">
        <v>1098</v>
      </c>
      <c r="B327" s="209" t="s">
        <v>35</v>
      </c>
      <c r="C327" s="209" t="s">
        <v>2448</v>
      </c>
      <c r="D327" s="209" t="s">
        <v>1069</v>
      </c>
      <c r="E327" s="209" t="s">
        <v>727</v>
      </c>
      <c r="F327" s="283" t="s">
        <v>13177</v>
      </c>
      <c r="H327" s="209" t="s">
        <v>1655</v>
      </c>
      <c r="I327" s="209" t="s">
        <v>13530</v>
      </c>
      <c r="J327" s="231" t="str">
        <f t="shared" si="12"/>
        <v>GoldZijin Kuang Ye Refinery</v>
      </c>
      <c r="K327" s="231" t="str">
        <f t="shared" si="13"/>
        <v>GoldZijin Kuang Ye Refinery</v>
      </c>
    </row>
    <row r="328" spans="1:11">
      <c r="A328" s="209" t="s">
        <v>1098</v>
      </c>
      <c r="B328" s="209" t="s">
        <v>1656</v>
      </c>
      <c r="C328" s="209" t="s">
        <v>2448</v>
      </c>
      <c r="D328" s="209" t="s">
        <v>1069</v>
      </c>
      <c r="E328" s="209" t="s">
        <v>727</v>
      </c>
      <c r="F328" s="283" t="s">
        <v>13177</v>
      </c>
      <c r="H328" s="209" t="s">
        <v>1655</v>
      </c>
      <c r="I328" s="209" t="s">
        <v>13530</v>
      </c>
      <c r="J328" s="231" t="str">
        <f t="shared" si="12"/>
        <v>GoldZijin Mining Industry Corporation</v>
      </c>
      <c r="K328" s="231" t="str">
        <f t="shared" si="13"/>
        <v>GoldZijin Mining Industry Corporation</v>
      </c>
    </row>
    <row r="329" spans="1:11">
      <c r="A329" s="209" t="s">
        <v>1098</v>
      </c>
      <c r="B329" s="209" t="s">
        <v>1805</v>
      </c>
      <c r="C329" s="209"/>
      <c r="D329" s="209"/>
      <c r="E329" s="209"/>
      <c r="F329" s="283"/>
      <c r="H329" s="209"/>
      <c r="I329" s="209"/>
      <c r="J329" s="231" t="str">
        <f t="shared" si="12"/>
        <v>GoldSmelter not listed</v>
      </c>
      <c r="K329" s="231" t="str">
        <f t="shared" si="13"/>
        <v>GoldSmelter not listed</v>
      </c>
    </row>
    <row r="330" spans="1:11">
      <c r="A330" s="209" t="s">
        <v>1098</v>
      </c>
      <c r="B330" s="209" t="s">
        <v>1290</v>
      </c>
      <c r="C330" s="209" t="s">
        <v>477</v>
      </c>
      <c r="D330" s="209" t="s">
        <v>477</v>
      </c>
      <c r="E330" s="209"/>
      <c r="F330" s="283"/>
      <c r="H330" s="209"/>
      <c r="I330" s="209"/>
      <c r="J330" s="231" t="str">
        <f t="shared" si="12"/>
        <v>GoldSmelter not yet identified</v>
      </c>
      <c r="K330" s="231" t="str">
        <f t="shared" si="13"/>
        <v>GoldSmelter not yet identified</v>
      </c>
    </row>
    <row r="331" spans="1:1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c r="A598" s="189" t="s">
        <v>1101</v>
      </c>
      <c r="B598" s="189" t="s">
        <v>15701</v>
      </c>
      <c r="C598" s="189" t="s">
        <v>15701</v>
      </c>
      <c r="D598" s="189" t="s">
        <v>2383</v>
      </c>
      <c r="E598" s="189" t="s">
        <v>15702</v>
      </c>
      <c r="F598" s="209" t="s">
        <v>13177</v>
      </c>
      <c r="H598" s="283" t="s">
        <v>15709</v>
      </c>
      <c r="I598" s="283" t="s">
        <v>11431</v>
      </c>
      <c r="J598" s="231" t="str">
        <f t="shared" si="22"/>
        <v>TungstenJing Yuan Tungsten Technology Co., Ltd.</v>
      </c>
      <c r="K598" s="231" t="str">
        <f t="shared" si="23"/>
        <v>TungstenJing Yuan Tungsten Technology Co., Ltd.</v>
      </c>
    </row>
    <row r="599" spans="1:1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c r="A601" s="189" t="s">
        <v>1101</v>
      </c>
      <c r="B601" s="189" t="s">
        <v>15715</v>
      </c>
      <c r="C601" s="189" t="s">
        <v>15716</v>
      </c>
      <c r="D601" s="189" t="s">
        <v>863</v>
      </c>
      <c r="E601" s="189" t="s">
        <v>15648</v>
      </c>
      <c r="F601" s="209" t="s">
        <v>13177</v>
      </c>
      <c r="H601" s="283" t="s">
        <v>15659</v>
      </c>
      <c r="I601" s="283" t="s">
        <v>12033</v>
      </c>
      <c r="J601" s="231" t="str">
        <f t="shared" si="22"/>
        <v>TungstenKenee Mining Corporation</v>
      </c>
      <c r="K601" s="231" t="str">
        <f t="shared" si="23"/>
        <v>TungstenKenee Mining Corporation</v>
      </c>
    </row>
    <row r="602" spans="1:11">
      <c r="A602" s="189" t="s">
        <v>1101</v>
      </c>
      <c r="B602" s="189" t="s">
        <v>15716</v>
      </c>
      <c r="C602" s="189" t="s">
        <v>15716</v>
      </c>
      <c r="D602" s="189" t="s">
        <v>863</v>
      </c>
      <c r="E602" s="189" t="s">
        <v>15648</v>
      </c>
      <c r="F602" s="209" t="s">
        <v>13177</v>
      </c>
      <c r="H602" s="283" t="s">
        <v>15659</v>
      </c>
      <c r="I602" s="283" t="s">
        <v>12033</v>
      </c>
      <c r="J602" s="231" t="str">
        <f t="shared" si="22"/>
        <v>TungstenKENEE MINING VIETNAM COMPANY LIMITED</v>
      </c>
      <c r="K602" s="231" t="str">
        <f t="shared" si="23"/>
        <v>TungstenKENEE MINING VIETNAM COMPANY LIMITED</v>
      </c>
    </row>
    <row r="603" spans="1:11">
      <c r="A603" s="189" t="s">
        <v>1101</v>
      </c>
      <c r="B603" s="189" t="s">
        <v>141</v>
      </c>
      <c r="C603" s="189" t="s">
        <v>141</v>
      </c>
      <c r="D603" s="189" t="s">
        <v>2384</v>
      </c>
      <c r="E603" s="189" t="s">
        <v>774</v>
      </c>
      <c r="F603" s="209" t="s">
        <v>13177</v>
      </c>
      <c r="H603" s="283" t="s">
        <v>1784</v>
      </c>
      <c r="I603" s="283" t="s">
        <v>1715</v>
      </c>
      <c r="J603" s="231" t="str">
        <f t="shared" si="22"/>
        <v>TungstenKennametal Fallon</v>
      </c>
      <c r="K603" s="231" t="str">
        <f t="shared" si="23"/>
        <v>TungstenKennametal Fallon</v>
      </c>
    </row>
    <row r="604" spans="1:11">
      <c r="A604" s="189" t="s">
        <v>1101</v>
      </c>
      <c r="B604" s="189" t="s">
        <v>140</v>
      </c>
      <c r="C604" s="189" t="s">
        <v>140</v>
      </c>
      <c r="D604" s="189" t="s">
        <v>2384</v>
      </c>
      <c r="E604" s="189" t="s">
        <v>768</v>
      </c>
      <c r="F604" s="209" t="s">
        <v>13177</v>
      </c>
      <c r="H604" s="283" t="s">
        <v>1779</v>
      </c>
      <c r="I604" s="283" t="s">
        <v>1780</v>
      </c>
      <c r="J604" s="231" t="str">
        <f t="shared" si="22"/>
        <v>TungstenKennametal Huntsville</v>
      </c>
      <c r="K604" s="231" t="str">
        <f t="shared" si="23"/>
        <v>TungstenKennametal Huntsville</v>
      </c>
    </row>
    <row r="605" spans="1:11">
      <c r="A605" s="189" t="s">
        <v>1101</v>
      </c>
      <c r="B605" s="189" t="s">
        <v>15703</v>
      </c>
      <c r="C605" s="189" t="s">
        <v>15703</v>
      </c>
      <c r="D605" s="189" t="s">
        <v>12995</v>
      </c>
      <c r="E605" s="189" t="s">
        <v>15704</v>
      </c>
      <c r="F605" s="209" t="s">
        <v>13177</v>
      </c>
      <c r="H605" s="283" t="s">
        <v>15708</v>
      </c>
      <c r="I605" s="283" t="s">
        <v>7042</v>
      </c>
      <c r="J605" s="231" t="str">
        <f t="shared" si="22"/>
        <v>TungstenLAOS SOUTHERN MINING SMELTING SOLE CO.,LTD</v>
      </c>
      <c r="K605" s="231" t="str">
        <f t="shared" si="23"/>
        <v>TungstenLAOS SOUTHERN MINING SMELTING SOLE CO.,LTD</v>
      </c>
    </row>
    <row r="606" spans="1:11">
      <c r="A606" s="189" t="s">
        <v>1101</v>
      </c>
      <c r="B606" s="189" t="s">
        <v>13729</v>
      </c>
      <c r="C606" s="189" t="s">
        <v>13729</v>
      </c>
      <c r="D606" s="189" t="s">
        <v>2383</v>
      </c>
      <c r="E606" s="189" t="s">
        <v>13730</v>
      </c>
      <c r="F606" s="209" t="s">
        <v>13177</v>
      </c>
      <c r="H606" s="283" t="s">
        <v>13740</v>
      </c>
      <c r="I606" s="283" t="s">
        <v>11431</v>
      </c>
      <c r="J606" s="231" t="str">
        <f t="shared" si="22"/>
        <v>TungstenLianyou Metals Co., Ltd.</v>
      </c>
      <c r="K606" s="231" t="str">
        <f t="shared" si="23"/>
        <v>TungstenLianyou Metals Co., Ltd.</v>
      </c>
    </row>
    <row r="607" spans="1:11">
      <c r="A607" s="189" t="s">
        <v>1101</v>
      </c>
      <c r="B607" s="189" t="s">
        <v>15649</v>
      </c>
      <c r="C607" s="189" t="s">
        <v>15649</v>
      </c>
      <c r="D607" s="189" t="s">
        <v>2383</v>
      </c>
      <c r="E607" s="189" t="s">
        <v>15650</v>
      </c>
      <c r="F607" s="209" t="s">
        <v>13177</v>
      </c>
      <c r="H607" s="283" t="s">
        <v>15660</v>
      </c>
      <c r="I607" s="283" t="s">
        <v>11437</v>
      </c>
      <c r="J607" s="231" t="str">
        <f t="shared" si="22"/>
        <v>TungstenLianyou Resources Co., Ltd.</v>
      </c>
      <c r="K607" s="231" t="str">
        <f t="shared" si="23"/>
        <v>TungstenLianyou Resources Co., Ltd.</v>
      </c>
    </row>
    <row r="608" spans="1:11">
      <c r="A608" s="189" t="s">
        <v>1101</v>
      </c>
      <c r="B608" s="189" t="s">
        <v>15316</v>
      </c>
      <c r="C608" s="189" t="s">
        <v>15316</v>
      </c>
      <c r="D608" s="189" t="s">
        <v>854</v>
      </c>
      <c r="E608" s="189" t="s">
        <v>15317</v>
      </c>
      <c r="F608" s="209" t="s">
        <v>13177</v>
      </c>
      <c r="H608" s="283" t="s">
        <v>15318</v>
      </c>
      <c r="I608" s="283" t="s">
        <v>9926</v>
      </c>
      <c r="J608" s="231" t="str">
        <f t="shared" si="22"/>
        <v>TungstenLLC Vostok</v>
      </c>
      <c r="K608" s="231" t="str">
        <f t="shared" si="23"/>
        <v>TungstenLLC Vostok</v>
      </c>
    </row>
    <row r="609" spans="1:11">
      <c r="A609" s="189" t="s">
        <v>1101</v>
      </c>
      <c r="B609" s="189" t="s">
        <v>15651</v>
      </c>
      <c r="C609" s="189" t="s">
        <v>15651</v>
      </c>
      <c r="D609" s="189" t="s">
        <v>1084</v>
      </c>
      <c r="E609" s="189" t="s">
        <v>15652</v>
      </c>
      <c r="F609" s="209" t="s">
        <v>13177</v>
      </c>
      <c r="H609" s="283" t="s">
        <v>15661</v>
      </c>
      <c r="I609" s="283" t="s">
        <v>8643</v>
      </c>
      <c r="J609" s="231" t="str">
        <f t="shared" si="22"/>
        <v>TungstenMALAMET SMELTING SDN. BHD.</v>
      </c>
      <c r="K609" s="231" t="str">
        <f t="shared" si="23"/>
        <v>TungstenMALAMET SMELTING SDN. BHD.</v>
      </c>
    </row>
    <row r="610" spans="1:11">
      <c r="A610" s="189" t="s">
        <v>1101</v>
      </c>
      <c r="B610" s="189" t="s">
        <v>146</v>
      </c>
      <c r="C610" s="189" t="s">
        <v>146</v>
      </c>
      <c r="D610" s="189" t="s">
        <v>1069</v>
      </c>
      <c r="E610" s="189" t="s">
        <v>136</v>
      </c>
      <c r="F610" s="209" t="s">
        <v>13177</v>
      </c>
      <c r="H610" s="283" t="s">
        <v>15662</v>
      </c>
      <c r="I610" s="283" t="s">
        <v>13540</v>
      </c>
      <c r="J610" s="231" t="str">
        <f t="shared" si="22"/>
        <v>TungstenMalipo Haiyu Tungsten Co., Ltd.</v>
      </c>
      <c r="K610" s="231" t="str">
        <f t="shared" si="23"/>
        <v>TungstenMalipo Haiyu Tungsten Co., Ltd.</v>
      </c>
    </row>
    <row r="611" spans="1:11">
      <c r="A611" s="189" t="s">
        <v>1101</v>
      </c>
      <c r="B611" s="189" t="s">
        <v>14973</v>
      </c>
      <c r="C611" s="189" t="s">
        <v>14973</v>
      </c>
      <c r="D611" s="189" t="s">
        <v>863</v>
      </c>
      <c r="E611" s="189" t="s">
        <v>1394</v>
      </c>
      <c r="F611" s="209" t="s">
        <v>13177</v>
      </c>
      <c r="H611" s="283" t="s">
        <v>1794</v>
      </c>
      <c r="I611" s="283" t="s">
        <v>12081</v>
      </c>
      <c r="J611" s="231" t="str">
        <f t="shared" si="22"/>
        <v>TungstenMasan High-Tech Materials</v>
      </c>
      <c r="K611" s="231" t="str">
        <f t="shared" si="23"/>
        <v>TungstenMasan High-Tech Materials</v>
      </c>
    </row>
    <row r="612" spans="1:1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c r="A640" s="189" t="s">
        <v>1101</v>
      </c>
      <c r="B640" s="189" t="s">
        <v>1805</v>
      </c>
      <c r="J640" s="231" t="str">
        <f t="shared" si="22"/>
        <v>TungstenSmelter not listed</v>
      </c>
      <c r="K640" s="231" t="str">
        <f t="shared" si="23"/>
        <v>TungstenSmelter not listed</v>
      </c>
    </row>
    <row r="641" spans="1:1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1640625" defaultRowHeight="13.8"/>
  <cols>
    <col min="1" max="1" width="14.6328125" style="155" customWidth="1"/>
    <col min="2" max="2" width="14" style="155" customWidth="1"/>
    <col min="3" max="3" width="6.1796875" style="155" customWidth="1"/>
    <col min="4" max="4" width="56.26953125" style="155" customWidth="1"/>
    <col min="5" max="5" width="53.7265625" style="233" customWidth="1"/>
    <col min="6" max="6" width="54.1796875" style="155" customWidth="1"/>
    <col min="7" max="7" width="68.26953125" style="155" customWidth="1"/>
    <col min="8" max="8" width="49.26953125" style="155" customWidth="1"/>
    <col min="9" max="9" width="51.6328125" style="155" customWidth="1"/>
    <col min="10" max="10" width="50.26953125" style="155" customWidth="1"/>
    <col min="11" max="11" width="51.81640625" customWidth="1"/>
    <col min="12" max="12" width="66.81640625" style="256" customWidth="1"/>
    <col min="13" max="13" width="46.1796875" style="109" customWidth="1"/>
    <col min="14" max="15" width="8.81640625" style="109" customWidth="1"/>
    <col min="16" max="16384" width="8.8164062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2.8">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45">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1.4">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7.6">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6">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41.4">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1.4">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1.4">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41.4">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69">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27.6">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82.8">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27.6">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69">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1.4">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1.4">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38.6">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13.4">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6">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41.4">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360">
      <c r="A27" s="155" t="str">
        <f t="shared" si="1"/>
        <v>InstructionsA28</v>
      </c>
      <c r="B27" s="155" t="s">
        <v>517</v>
      </c>
      <c r="C27" s="155" t="s">
        <v>963</v>
      </c>
      <c r="D27" s="112" t="s">
        <v>12365</v>
      </c>
      <c r="E27" s="259" t="s">
        <v>14012</v>
      </c>
      <c r="F27" s="264"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14.2">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43.6">
      <c r="A31" s="155" t="str">
        <f t="shared" si="3"/>
        <v>InstructionsA32</v>
      </c>
      <c r="B31" s="155" t="s">
        <v>517</v>
      </c>
      <c r="C31" s="155" t="s">
        <v>1163</v>
      </c>
      <c r="D31" s="112" t="s">
        <v>13891</v>
      </c>
      <c r="E31" s="259" t="s">
        <v>14014</v>
      </c>
      <c r="F31" s="266" t="s">
        <v>14113</v>
      </c>
      <c r="G31" s="269" t="s">
        <v>15006</v>
      </c>
      <c r="H31" s="240" t="s">
        <v>14333</v>
      </c>
      <c r="I31" s="234" t="s">
        <v>14384</v>
      </c>
      <c r="J31" s="234" t="s">
        <v>13892</v>
      </c>
      <c r="K31" s="241" t="s">
        <v>14436</v>
      </c>
      <c r="L31" s="234" t="s">
        <v>14489</v>
      </c>
      <c r="M31" s="234" t="s">
        <v>14552</v>
      </c>
    </row>
    <row r="32" spans="1:13" ht="115.2">
      <c r="A32" s="155" t="str">
        <f t="shared" si="3"/>
        <v>InstructionsA33</v>
      </c>
      <c r="B32" s="155" t="s">
        <v>517</v>
      </c>
      <c r="C32" s="155" t="s">
        <v>1164</v>
      </c>
      <c r="D32" s="112" t="s">
        <v>13893</v>
      </c>
      <c r="E32" s="214" t="s">
        <v>14015</v>
      </c>
      <c r="F32" s="266" t="s">
        <v>14114</v>
      </c>
      <c r="G32" s="269" t="s">
        <v>15007</v>
      </c>
      <c r="H32" s="240" t="s">
        <v>13894</v>
      </c>
      <c r="I32" s="234" t="s">
        <v>13895</v>
      </c>
      <c r="J32" s="234" t="s">
        <v>13896</v>
      </c>
      <c r="K32" s="241" t="s">
        <v>13897</v>
      </c>
      <c r="L32" s="234" t="s">
        <v>14490</v>
      </c>
      <c r="M32" s="234" t="s">
        <v>13898</v>
      </c>
    </row>
    <row r="33" spans="1:13" ht="115.2">
      <c r="A33" s="155" t="str">
        <f t="shared" si="3"/>
        <v>InstructionsA34</v>
      </c>
      <c r="B33" s="155" t="s">
        <v>517</v>
      </c>
      <c r="C33" s="155" t="s">
        <v>1165</v>
      </c>
      <c r="D33" s="112" t="s">
        <v>13899</v>
      </c>
      <c r="E33" s="259" t="s">
        <v>13900</v>
      </c>
      <c r="F33" s="266" t="s">
        <v>14115</v>
      </c>
      <c r="G33" s="269" t="s">
        <v>15008</v>
      </c>
      <c r="H33" s="240" t="s">
        <v>13901</v>
      </c>
      <c r="I33" s="234" t="s">
        <v>14997</v>
      </c>
      <c r="J33" s="234" t="s">
        <v>13902</v>
      </c>
      <c r="K33" s="241" t="s">
        <v>15328</v>
      </c>
      <c r="L33" s="234" t="s">
        <v>13903</v>
      </c>
      <c r="M33" s="234" t="s">
        <v>13904</v>
      </c>
    </row>
    <row r="34" spans="1:13" ht="41.4">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57.6">
      <c r="A35" s="155" t="str">
        <f t="shared" si="3"/>
        <v>InstructionsA37</v>
      </c>
      <c r="B35" s="155" t="s">
        <v>517</v>
      </c>
      <c r="C35" s="155" t="s">
        <v>1166</v>
      </c>
      <c r="D35" s="155" t="s">
        <v>13887</v>
      </c>
      <c r="E35" s="214" t="s">
        <v>14016</v>
      </c>
      <c r="F35" s="266" t="s">
        <v>14117</v>
      </c>
      <c r="G35" s="270"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96.6">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10.4">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00.8">
      <c r="A39" s="155" t="str">
        <f t="shared" si="3"/>
        <v>InstructionsA41</v>
      </c>
      <c r="B39" s="155" t="s">
        <v>517</v>
      </c>
      <c r="C39" s="155" t="s">
        <v>964</v>
      </c>
      <c r="D39" s="112" t="s">
        <v>13931</v>
      </c>
      <c r="E39" s="214" t="s">
        <v>14019</v>
      </c>
      <c r="F39" s="264" t="s">
        <v>14120</v>
      </c>
      <c r="G39" s="234" t="s">
        <v>15011</v>
      </c>
      <c r="H39" s="234" t="s">
        <v>14337</v>
      </c>
      <c r="I39" s="234" t="s">
        <v>14387</v>
      </c>
      <c r="J39" s="234" t="s">
        <v>15092</v>
      </c>
      <c r="K39" s="241" t="s">
        <v>14440</v>
      </c>
      <c r="L39" s="234" t="s">
        <v>14495</v>
      </c>
      <c r="M39" s="234" t="s">
        <v>14556</v>
      </c>
    </row>
    <row r="40" spans="1:13" ht="358.8">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01.6">
      <c r="A41" s="155" t="str">
        <f t="shared" si="3"/>
        <v>InstructionsA43</v>
      </c>
      <c r="B41" s="155" t="s">
        <v>517</v>
      </c>
      <c r="C41" s="155" t="s">
        <v>1170</v>
      </c>
      <c r="D41" s="112" t="s">
        <v>13915</v>
      </c>
      <c r="E41" s="259" t="s">
        <v>14021</v>
      </c>
      <c r="F41" s="264" t="s">
        <v>14121</v>
      </c>
      <c r="G41" s="234" t="s">
        <v>15013</v>
      </c>
      <c r="H41" s="240" t="s">
        <v>14338</v>
      </c>
      <c r="I41" s="234" t="s">
        <v>14388</v>
      </c>
      <c r="J41" s="234" t="s">
        <v>13916</v>
      </c>
      <c r="K41" s="241" t="s">
        <v>14441</v>
      </c>
      <c r="L41" s="234" t="s">
        <v>14496</v>
      </c>
      <c r="M41" s="234" t="s">
        <v>14557</v>
      </c>
    </row>
    <row r="42" spans="1:13" ht="187.2">
      <c r="A42" s="155" t="str">
        <f t="shared" si="3"/>
        <v>InstructionsA44</v>
      </c>
      <c r="B42" s="155" t="s">
        <v>517</v>
      </c>
      <c r="C42" s="155" t="s">
        <v>1171</v>
      </c>
      <c r="D42" s="155" t="s">
        <v>13917</v>
      </c>
      <c r="E42" s="259" t="s">
        <v>14022</v>
      </c>
      <c r="F42" s="264" t="s">
        <v>14122</v>
      </c>
      <c r="G42" s="234" t="s">
        <v>14283</v>
      </c>
      <c r="H42" s="240" t="s">
        <v>14339</v>
      </c>
      <c r="I42" s="234" t="s">
        <v>14389</v>
      </c>
      <c r="J42" s="234" t="s">
        <v>13918</v>
      </c>
      <c r="K42" s="241" t="s">
        <v>14442</v>
      </c>
      <c r="L42" s="234" t="s">
        <v>14497</v>
      </c>
      <c r="M42" s="234" t="s">
        <v>14558</v>
      </c>
    </row>
    <row r="43" spans="1:13" ht="86.4">
      <c r="A43" s="155" t="str">
        <f t="shared" si="3"/>
        <v>InstructionsA45</v>
      </c>
      <c r="B43" s="155" t="s">
        <v>517</v>
      </c>
      <c r="C43" s="155" t="s">
        <v>1172</v>
      </c>
      <c r="D43" s="155" t="s">
        <v>13919</v>
      </c>
      <c r="E43" s="259" t="s">
        <v>13920</v>
      </c>
      <c r="F43" s="264"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1.4">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7.6">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86.4">
      <c r="A47" s="155" t="str">
        <f t="shared" si="3"/>
        <v>InstructionsA50</v>
      </c>
      <c r="B47" s="155" t="s">
        <v>517</v>
      </c>
      <c r="C47" s="155" t="s">
        <v>1175</v>
      </c>
      <c r="D47" s="155" t="s">
        <v>12372</v>
      </c>
      <c r="E47" s="259" t="s">
        <v>14024</v>
      </c>
      <c r="F47" s="264" t="s">
        <v>14127</v>
      </c>
      <c r="G47" s="234" t="s">
        <v>14287</v>
      </c>
      <c r="H47" s="240" t="s">
        <v>14343</v>
      </c>
      <c r="I47" s="240" t="s">
        <v>14393</v>
      </c>
      <c r="J47" s="234" t="s">
        <v>15094</v>
      </c>
      <c r="K47" s="241" t="s">
        <v>14446</v>
      </c>
      <c r="L47" s="234" t="s">
        <v>14501</v>
      </c>
      <c r="M47" s="240" t="s">
        <v>14563</v>
      </c>
    </row>
    <row r="48" spans="1:13" ht="69">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5.2">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38">
      <c r="A50" s="155" t="str">
        <f t="shared" si="4"/>
        <v>InstructionsA53</v>
      </c>
      <c r="B50" s="155" t="s">
        <v>517</v>
      </c>
      <c r="C50" s="155" t="s">
        <v>1178</v>
      </c>
      <c r="D50" s="155" t="s">
        <v>12371</v>
      </c>
      <c r="E50" s="259" t="s">
        <v>13232</v>
      </c>
      <c r="F50" s="264" t="s">
        <v>14130</v>
      </c>
      <c r="G50" s="240" t="s">
        <v>14289</v>
      </c>
      <c r="H50" s="240" t="s">
        <v>12383</v>
      </c>
      <c r="I50" s="240" t="s">
        <v>14395</v>
      </c>
      <c r="J50" s="234" t="s">
        <v>15097</v>
      </c>
      <c r="K50" s="241" t="s">
        <v>14448</v>
      </c>
      <c r="L50" s="234" t="s">
        <v>13361</v>
      </c>
      <c r="M50" s="240" t="s">
        <v>14564</v>
      </c>
    </row>
    <row r="51" spans="1:13" ht="82.8">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82.8">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10.4">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69">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3.2">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3.2">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0.4">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31.2">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82.8">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65.6">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193.2">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15.2">
      <c r="A62" s="155" t="str">
        <f t="shared" si="4"/>
        <v>InstructionsA65</v>
      </c>
      <c r="B62" s="155" t="s">
        <v>517</v>
      </c>
      <c r="C62" s="155" t="s">
        <v>621</v>
      </c>
      <c r="D62" s="155" t="s">
        <v>12353</v>
      </c>
      <c r="E62" s="155" t="s">
        <v>14034</v>
      </c>
      <c r="F62" s="264" t="s">
        <v>14141</v>
      </c>
      <c r="G62" s="240" t="s">
        <v>14292</v>
      </c>
      <c r="H62" s="240" t="s">
        <v>14346</v>
      </c>
      <c r="I62" s="240" t="s">
        <v>14396</v>
      </c>
      <c r="J62" s="234" t="s">
        <v>15109</v>
      </c>
      <c r="K62" s="241" t="s">
        <v>14451</v>
      </c>
      <c r="L62" s="234" t="s">
        <v>14506</v>
      </c>
      <c r="M62" s="240" t="s">
        <v>14567</v>
      </c>
    </row>
    <row r="63" spans="1:13" ht="41.4">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193.2">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27.6">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303.60000000000002">
      <c r="A66" s="155" t="str">
        <f t="shared" si="4"/>
        <v>InstructionsA69</v>
      </c>
      <c r="B66" s="155" t="s">
        <v>517</v>
      </c>
      <c r="C66" s="155" t="s">
        <v>628</v>
      </c>
      <c r="D66" s="155" t="s">
        <v>13104</v>
      </c>
      <c r="E66" s="258" t="s">
        <v>13235</v>
      </c>
      <c r="F66" s="155" t="s">
        <v>14145</v>
      </c>
      <c r="G66" s="271" t="s">
        <v>13407</v>
      </c>
      <c r="H66" s="143" t="s">
        <v>13354</v>
      </c>
      <c r="I66" s="155" t="s">
        <v>14398</v>
      </c>
      <c r="J66" s="155" t="s">
        <v>13382</v>
      </c>
      <c r="K66" s="232" t="s">
        <v>13204</v>
      </c>
      <c r="L66" s="238" t="s">
        <v>13362</v>
      </c>
      <c r="M66" s="155" t="s">
        <v>13346</v>
      </c>
    </row>
    <row r="67" spans="1:15" ht="151.80000000000001">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38">
      <c r="A68" s="155" t="str">
        <f t="shared" si="4"/>
        <v>InstructionsA71</v>
      </c>
      <c r="B68" s="155" t="s">
        <v>517</v>
      </c>
      <c r="C68" s="155" t="s">
        <v>629</v>
      </c>
      <c r="D68" s="155" t="s">
        <v>13102</v>
      </c>
      <c r="E68" s="258" t="s">
        <v>14037</v>
      </c>
      <c r="F68" s="155" t="s">
        <v>14147</v>
      </c>
      <c r="G68" s="271" t="s">
        <v>13408</v>
      </c>
      <c r="H68" s="143" t="s">
        <v>13356</v>
      </c>
      <c r="I68" s="155" t="s">
        <v>13394</v>
      </c>
      <c r="J68" s="155" t="s">
        <v>13384</v>
      </c>
      <c r="K68" s="232" t="s">
        <v>13206</v>
      </c>
      <c r="L68" s="238" t="s">
        <v>13364</v>
      </c>
      <c r="M68" s="155" t="s">
        <v>13348</v>
      </c>
    </row>
    <row r="69" spans="1:15" ht="289.8">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96.6">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41.4">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69">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7.6">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1.4">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7.6">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7.6">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7.6">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7.6">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7.6">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7.6">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55"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7.6">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7.6">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7.6">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7.6">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2.8">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76.4">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24.2">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51.80000000000001">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69">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38">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10.4">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38">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6">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20.8">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10.4">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17.39999999999998">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07">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7.6">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69">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7.6">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51.80000000000001">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96.6">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276">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248.4">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7.6">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38">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82.8">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207">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193.2">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179.4">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7.6">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7.6">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41.4">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43.2">
      <c r="A137" s="155" t="str">
        <f t="shared" si="9"/>
        <v>DeclarationB6</v>
      </c>
      <c r="B137" s="155" t="s">
        <v>961</v>
      </c>
      <c r="C137" s="155" t="s">
        <v>922</v>
      </c>
      <c r="D137" s="155" t="s">
        <v>12339</v>
      </c>
      <c r="E137" s="155" t="s">
        <v>14042</v>
      </c>
      <c r="F137" s="264" t="s">
        <v>14198</v>
      </c>
      <c r="G137" s="240" t="s">
        <v>14308</v>
      </c>
      <c r="H137" s="234" t="s">
        <v>14355</v>
      </c>
      <c r="I137" s="240" t="s">
        <v>14404</v>
      </c>
      <c r="J137" s="240" t="s">
        <v>14726</v>
      </c>
      <c r="K137" s="241" t="s">
        <v>14457</v>
      </c>
      <c r="L137" s="234" t="s">
        <v>13371</v>
      </c>
      <c r="M137" s="240" t="s">
        <v>14586</v>
      </c>
    </row>
    <row r="138" spans="1:13" ht="55.2">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7.6">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7.6">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7.6">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7.6">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27.6">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28.8">
      <c r="A158" s="155" t="str">
        <f t="shared" si="10"/>
        <v>DeclarationB25</v>
      </c>
      <c r="B158" s="155" t="s">
        <v>961</v>
      </c>
      <c r="C158" s="155" t="s">
        <v>463</v>
      </c>
      <c r="D158" s="112" t="s">
        <v>12364</v>
      </c>
      <c r="E158" s="214" t="s">
        <v>13286</v>
      </c>
      <c r="F158" s="264" t="s">
        <v>14216</v>
      </c>
      <c r="G158" s="240" t="s">
        <v>14309</v>
      </c>
      <c r="H158" s="240" t="s">
        <v>14356</v>
      </c>
      <c r="I158" s="240" t="s">
        <v>14405</v>
      </c>
      <c r="J158" s="240" t="s">
        <v>14727</v>
      </c>
      <c r="K158" s="241" t="s">
        <v>14458</v>
      </c>
      <c r="L158" s="234" t="s">
        <v>13374</v>
      </c>
      <c r="M158" s="240" t="s">
        <v>14604</v>
      </c>
    </row>
    <row r="159" spans="1:13" ht="14.4">
      <c r="A159" s="155" t="str">
        <f t="shared" si="10"/>
        <v>DeclarationB31</v>
      </c>
      <c r="B159" s="155" t="s">
        <v>961</v>
      </c>
      <c r="C159" s="155" t="s">
        <v>464</v>
      </c>
      <c r="D159" s="112" t="s">
        <v>12394</v>
      </c>
      <c r="E159" s="214" t="s">
        <v>12395</v>
      </c>
      <c r="F159" s="264" t="s">
        <v>14217</v>
      </c>
      <c r="G159" s="234" t="s">
        <v>12396</v>
      </c>
      <c r="H159" s="240" t="s">
        <v>14357</v>
      </c>
      <c r="I159" s="234" t="s">
        <v>12397</v>
      </c>
      <c r="J159" s="234" t="s">
        <v>12398</v>
      </c>
      <c r="K159" s="241" t="s">
        <v>12399</v>
      </c>
      <c r="L159" s="234" t="s">
        <v>12400</v>
      </c>
      <c r="M159" s="234" t="s">
        <v>12401</v>
      </c>
    </row>
    <row r="160" spans="1:13" ht="50.4">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37.799999999999997">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37.799999999999997">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28.8">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28.8">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37.799999999999997">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7.6">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69">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0.4">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37.799999999999997">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28.8">
      <c r="A171" s="155" t="str">
        <f t="shared" si="12"/>
        <v>DeclarationB83</v>
      </c>
      <c r="B171" s="155" t="s">
        <v>961</v>
      </c>
      <c r="C171" s="155" t="s">
        <v>471</v>
      </c>
      <c r="D171" s="112" t="s">
        <v>13847</v>
      </c>
      <c r="E171" s="259" t="s">
        <v>13848</v>
      </c>
      <c r="F171" s="264" t="s">
        <v>14225</v>
      </c>
      <c r="G171" s="234" t="s">
        <v>13849</v>
      </c>
      <c r="H171" s="234" t="s">
        <v>13850</v>
      </c>
      <c r="I171" s="234" t="s">
        <v>13851</v>
      </c>
      <c r="J171" s="234" t="s">
        <v>13852</v>
      </c>
      <c r="K171" s="241" t="s">
        <v>13853</v>
      </c>
      <c r="L171" s="234" t="s">
        <v>13854</v>
      </c>
      <c r="M171" s="234" t="s">
        <v>13855</v>
      </c>
    </row>
    <row r="172" spans="1:13" ht="41.4">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27.6">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28.8">
      <c r="A174" s="155" t="str">
        <f t="shared" si="12"/>
        <v>DeclarationB89</v>
      </c>
      <c r="B174" s="155" t="s">
        <v>961</v>
      </c>
      <c r="C174" s="155" t="s">
        <v>13801</v>
      </c>
      <c r="D174" s="155" t="s">
        <v>13954</v>
      </c>
      <c r="E174" s="263" t="s">
        <v>14854</v>
      </c>
      <c r="F174" s="264" t="s">
        <v>14896</v>
      </c>
      <c r="G174" s="263" t="s">
        <v>14855</v>
      </c>
      <c r="H174" s="263" t="s">
        <v>14856</v>
      </c>
      <c r="I174" s="263" t="s">
        <v>14857</v>
      </c>
      <c r="J174" s="263" t="s">
        <v>14858</v>
      </c>
      <c r="K174" s="263" t="s">
        <v>14859</v>
      </c>
      <c r="L174" s="263" t="s">
        <v>14860</v>
      </c>
      <c r="M174" s="263" t="s">
        <v>14861</v>
      </c>
    </row>
    <row r="175" spans="1:13">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14.4">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14.4">
      <c r="A195" s="155" t="str">
        <f t="shared" si="12"/>
        <v>DeclarationB100</v>
      </c>
      <c r="B195" s="155" t="s">
        <v>961</v>
      </c>
      <c r="C195" s="155" t="s">
        <v>12346</v>
      </c>
      <c r="D195" s="205" t="s">
        <v>2432</v>
      </c>
      <c r="E195" s="233" t="s">
        <v>13296</v>
      </c>
      <c r="F195" s="265" t="s">
        <v>14236</v>
      </c>
      <c r="G195" s="245" t="s">
        <v>14312</v>
      </c>
      <c r="H195" s="246" t="s">
        <v>12384</v>
      </c>
      <c r="I195" s="245" t="s">
        <v>14410</v>
      </c>
      <c r="J195" s="245" t="s">
        <v>14730</v>
      </c>
      <c r="K195" s="247" t="s">
        <v>14463</v>
      </c>
      <c r="L195" s="246" t="s">
        <v>12390</v>
      </c>
      <c r="M195" s="246" t="s">
        <v>12389</v>
      </c>
    </row>
    <row r="196" spans="1:13" ht="14.4">
      <c r="A196" s="155" t="str">
        <f t="shared" si="12"/>
        <v>DeclarationB101</v>
      </c>
      <c r="B196" s="155" t="s">
        <v>961</v>
      </c>
      <c r="C196" s="155" t="s">
        <v>12347</v>
      </c>
      <c r="D196" s="205" t="s">
        <v>2433</v>
      </c>
      <c r="E196" s="233" t="s">
        <v>13297</v>
      </c>
      <c r="F196" s="265" t="s">
        <v>14237</v>
      </c>
      <c r="G196" s="245" t="s">
        <v>14313</v>
      </c>
      <c r="H196" s="246" t="s">
        <v>12385</v>
      </c>
      <c r="I196" s="245" t="s">
        <v>14411</v>
      </c>
      <c r="J196" s="245" t="s">
        <v>14731</v>
      </c>
      <c r="K196" s="247" t="s">
        <v>14464</v>
      </c>
      <c r="L196" s="248" t="s">
        <v>13375</v>
      </c>
      <c r="M196" s="245" t="s">
        <v>14621</v>
      </c>
    </row>
    <row r="197" spans="1:13" ht="14.4">
      <c r="A197" s="155" t="str">
        <f t="shared" si="12"/>
        <v>DeclarationB102</v>
      </c>
      <c r="B197" s="155" t="s">
        <v>961</v>
      </c>
      <c r="C197" s="155" t="s">
        <v>12348</v>
      </c>
      <c r="D197" s="205" t="s">
        <v>2434</v>
      </c>
      <c r="E197" s="233" t="s">
        <v>13298</v>
      </c>
      <c r="F197" s="265" t="s">
        <v>14238</v>
      </c>
      <c r="G197" s="245" t="s">
        <v>14314</v>
      </c>
      <c r="H197" s="246" t="s">
        <v>12386</v>
      </c>
      <c r="I197" s="245" t="s">
        <v>14412</v>
      </c>
      <c r="J197" s="245" t="s">
        <v>14732</v>
      </c>
      <c r="K197" s="247" t="s">
        <v>14465</v>
      </c>
      <c r="L197" s="248" t="s">
        <v>13376</v>
      </c>
      <c r="M197" s="245" t="s">
        <v>14622</v>
      </c>
    </row>
    <row r="198" spans="1:13" ht="14.4">
      <c r="A198" s="155" t="str">
        <f t="shared" si="12"/>
        <v>DeclarationB103</v>
      </c>
      <c r="B198" s="155" t="s">
        <v>961</v>
      </c>
      <c r="C198" s="155" t="s">
        <v>12349</v>
      </c>
      <c r="D198" s="205" t="s">
        <v>2435</v>
      </c>
      <c r="E198" s="233" t="s">
        <v>13299</v>
      </c>
      <c r="F198" s="265" t="s">
        <v>14239</v>
      </c>
      <c r="G198" s="245" t="s">
        <v>14315</v>
      </c>
      <c r="H198" s="245" t="s">
        <v>14362</v>
      </c>
      <c r="I198" s="245" t="s">
        <v>14413</v>
      </c>
      <c r="J198" s="245" t="s">
        <v>14733</v>
      </c>
      <c r="K198" s="247" t="s">
        <v>14466</v>
      </c>
      <c r="L198" s="248" t="s">
        <v>13377</v>
      </c>
      <c r="M198" s="245" t="s">
        <v>14623</v>
      </c>
    </row>
    <row r="199" spans="1:13">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14.4">
      <c r="A200" s="155" t="str">
        <f t="shared" si="12"/>
        <v>DeclarationB105</v>
      </c>
      <c r="B200" s="155" t="s">
        <v>961</v>
      </c>
      <c r="C200" s="155" t="s">
        <v>13874</v>
      </c>
      <c r="D200" s="206" t="s">
        <v>12340</v>
      </c>
      <c r="E200" s="214" t="s">
        <v>14048</v>
      </c>
      <c r="F200" s="264" t="s">
        <v>14241</v>
      </c>
      <c r="G200" s="240" t="s">
        <v>14316</v>
      </c>
      <c r="H200" s="240" t="s">
        <v>14363</v>
      </c>
      <c r="I200" s="240" t="s">
        <v>14414</v>
      </c>
      <c r="J200" s="240" t="s">
        <v>14734</v>
      </c>
      <c r="K200" s="241" t="s">
        <v>14467</v>
      </c>
      <c r="L200" s="234" t="s">
        <v>12387</v>
      </c>
      <c r="M200" s="240" t="s">
        <v>14625</v>
      </c>
    </row>
    <row r="201" spans="1:13" ht="14.4">
      <c r="A201" s="155" t="str">
        <f t="shared" si="12"/>
        <v>DeclarationB106</v>
      </c>
      <c r="B201" s="155" t="s">
        <v>961</v>
      </c>
      <c r="C201" s="155" t="s">
        <v>13875</v>
      </c>
      <c r="D201" s="206" t="s">
        <v>12341</v>
      </c>
      <c r="E201" s="214" t="s">
        <v>14049</v>
      </c>
      <c r="F201" s="264" t="s">
        <v>14242</v>
      </c>
      <c r="G201" s="240" t="s">
        <v>14317</v>
      </c>
      <c r="H201" s="240" t="s">
        <v>14364</v>
      </c>
      <c r="I201" s="240" t="s">
        <v>14415</v>
      </c>
      <c r="J201" s="240" t="s">
        <v>14735</v>
      </c>
      <c r="K201" s="241" t="s">
        <v>14468</v>
      </c>
      <c r="L201" s="234" t="s">
        <v>12388</v>
      </c>
      <c r="M201" s="240" t="s">
        <v>14626</v>
      </c>
    </row>
    <row r="202" spans="1:13" ht="14.4">
      <c r="A202" s="155" t="str">
        <f t="shared" si="12"/>
        <v>DeclarationB107</v>
      </c>
      <c r="B202" s="155" t="s">
        <v>961</v>
      </c>
      <c r="C202" s="155" t="s">
        <v>13876</v>
      </c>
      <c r="D202" s="206" t="s">
        <v>476</v>
      </c>
      <c r="E202" s="214" t="s">
        <v>13294</v>
      </c>
      <c r="F202" s="264" t="s">
        <v>14243</v>
      </c>
      <c r="G202" s="240" t="s">
        <v>14318</v>
      </c>
      <c r="H202" s="240" t="s">
        <v>14365</v>
      </c>
      <c r="I202" s="240" t="s">
        <v>14416</v>
      </c>
      <c r="J202" s="240" t="s">
        <v>14736</v>
      </c>
      <c r="K202" s="241" t="s">
        <v>14318</v>
      </c>
      <c r="L202" s="249" t="s">
        <v>14517</v>
      </c>
      <c r="M202" s="240" t="s">
        <v>14627</v>
      </c>
    </row>
    <row r="203" spans="1:13">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14.4">
      <c r="A206" s="155" t="str">
        <f t="shared" ref="A206" si="13">B206&amp;C206</f>
        <v>DeclarationB111</v>
      </c>
      <c r="B206" s="155" t="s">
        <v>961</v>
      </c>
      <c r="C206" s="155" t="s">
        <v>13881</v>
      </c>
      <c r="D206" s="206" t="s">
        <v>476</v>
      </c>
      <c r="E206" s="214" t="s">
        <v>13294</v>
      </c>
      <c r="F206" s="264"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4" t="s">
        <v>14877</v>
      </c>
      <c r="G207" s="240" t="s">
        <v>14319</v>
      </c>
      <c r="H207" s="240" t="s">
        <v>14878</v>
      </c>
      <c r="I207" s="240" t="s">
        <v>14879</v>
      </c>
      <c r="J207" s="240" t="s">
        <v>13390</v>
      </c>
      <c r="K207" s="241" t="s">
        <v>14880</v>
      </c>
      <c r="L207" s="250" t="s">
        <v>14881</v>
      </c>
      <c r="M207" s="240" t="s">
        <v>14631</v>
      </c>
    </row>
    <row r="208" spans="1:13" ht="27.6">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7.6">
      <c r="A209" s="155" t="str">
        <f t="shared" si="15"/>
        <v>Smelter Look-upB4</v>
      </c>
      <c r="B209" s="155" t="s">
        <v>12370</v>
      </c>
      <c r="C209" s="155" t="s">
        <v>920</v>
      </c>
      <c r="D209" s="155" t="s">
        <v>12368</v>
      </c>
      <c r="E209" s="214" t="s">
        <v>13838</v>
      </c>
      <c r="F209" s="264" t="s">
        <v>14247</v>
      </c>
      <c r="G209" s="240" t="s">
        <v>14320</v>
      </c>
      <c r="H209" s="240" t="s">
        <v>14369</v>
      </c>
      <c r="I209" s="240" t="s">
        <v>14420</v>
      </c>
      <c r="J209" s="234" t="s">
        <v>15118</v>
      </c>
      <c r="K209" s="241" t="s">
        <v>14472</v>
      </c>
      <c r="L209" s="234" t="s">
        <v>13378</v>
      </c>
      <c r="M209" s="240" t="s">
        <v>14632</v>
      </c>
    </row>
    <row r="210" spans="1:13" ht="27.6">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7.6">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7.6">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7.6">
      <c r="A213" s="155" t="str">
        <f t="shared" si="15"/>
        <v>Smelter Look-upE4</v>
      </c>
      <c r="B213" s="155" t="s">
        <v>12370</v>
      </c>
      <c r="C213" s="155" t="s">
        <v>1253</v>
      </c>
      <c r="D213" s="155" t="s">
        <v>12366</v>
      </c>
      <c r="E213" s="214" t="s">
        <v>14054</v>
      </c>
      <c r="F213" s="264" t="s">
        <v>14251</v>
      </c>
      <c r="G213" s="240" t="s">
        <v>572</v>
      </c>
      <c r="H213" s="240" t="s">
        <v>14370</v>
      </c>
      <c r="I213" s="240" t="s">
        <v>14421</v>
      </c>
      <c r="J213" s="234" t="s">
        <v>15119</v>
      </c>
      <c r="K213" s="241" t="s">
        <v>14473</v>
      </c>
      <c r="L213" s="234" t="s">
        <v>13379</v>
      </c>
      <c r="M213" s="240" t="s">
        <v>14636</v>
      </c>
    </row>
    <row r="214" spans="1:13" ht="27.6">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4"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4"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41.4">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1.4">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5.2">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27.6">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1.4">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9.6">
      <c r="A235" s="155" t="str">
        <f t="shared" si="16"/>
        <v>Smelter ListB3</v>
      </c>
      <c r="B235" s="155" t="s">
        <v>1205</v>
      </c>
      <c r="C235" s="155" t="s">
        <v>919</v>
      </c>
      <c r="D235" s="252" t="s">
        <v>13201</v>
      </c>
      <c r="E235" s="155" t="s">
        <v>14057</v>
      </c>
      <c r="F235" s="264"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5.2">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7.6">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27.6">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7.6">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7.6">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27.6">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7.6">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1.4">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41.4">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27.6">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41.4">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41.4">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27.6">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41.4">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55.2">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55.2">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55.2">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55.2">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69">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69">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69">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69">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55.2">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55.2">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55.2">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55.2">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55.2">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55.2">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55.2">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55.2">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41.4">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5.2">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5.2">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5.2">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1.4">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1.4">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1.4">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1.4">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5.2">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55.2">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55.2">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82.8">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41.4">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41.4">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1.4">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41.4">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41.4">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41.4">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ht="27.6">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2.8">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7.6">
      <c r="A321" s="155" t="s">
        <v>807</v>
      </c>
      <c r="D321" s="155" t="s">
        <v>294</v>
      </c>
      <c r="E321" s="213" t="s">
        <v>13340</v>
      </c>
      <c r="F321" s="155" t="s">
        <v>302</v>
      </c>
      <c r="G321" s="272" t="s">
        <v>299</v>
      </c>
      <c r="H321" s="155" t="s">
        <v>123</v>
      </c>
      <c r="I321" s="155" t="s">
        <v>251</v>
      </c>
      <c r="J321" s="155" t="s">
        <v>1322</v>
      </c>
      <c r="K321" s="155" t="s">
        <v>116</v>
      </c>
      <c r="L321" s="255" t="s">
        <v>297</v>
      </c>
      <c r="M321" s="155" t="s">
        <v>14706</v>
      </c>
    </row>
    <row r="322" spans="1:13" ht="27.6">
      <c r="A322" s="155" t="s">
        <v>807</v>
      </c>
      <c r="D322" s="155" t="s">
        <v>295</v>
      </c>
      <c r="E322" s="213" t="s">
        <v>13341</v>
      </c>
      <c r="F322" s="155" t="s">
        <v>303</v>
      </c>
      <c r="G322" s="272" t="s">
        <v>15086</v>
      </c>
      <c r="H322" s="155" t="s">
        <v>124</v>
      </c>
      <c r="I322" s="155" t="s">
        <v>252</v>
      </c>
      <c r="J322" s="155" t="s">
        <v>1338</v>
      </c>
      <c r="K322" s="155" t="s">
        <v>117</v>
      </c>
      <c r="L322" s="255" t="s">
        <v>296</v>
      </c>
      <c r="M322" s="155" t="s">
        <v>14707</v>
      </c>
    </row>
    <row r="323" spans="1:13" ht="69">
      <c r="A323" s="155" t="s">
        <v>807</v>
      </c>
      <c r="D323" s="155" t="s">
        <v>291</v>
      </c>
      <c r="E323" s="213" t="s">
        <v>14091</v>
      </c>
      <c r="F323" s="155" t="s">
        <v>14275</v>
      </c>
      <c r="G323" s="272" t="s">
        <v>300</v>
      </c>
      <c r="H323" s="155" t="s">
        <v>125</v>
      </c>
      <c r="I323" s="155" t="s">
        <v>253</v>
      </c>
      <c r="J323" s="155" t="s">
        <v>292</v>
      </c>
      <c r="K323" s="155" t="s">
        <v>14478</v>
      </c>
      <c r="L323" s="255" t="s">
        <v>293</v>
      </c>
      <c r="M323" s="155" t="s">
        <v>14708</v>
      </c>
    </row>
    <row r="324" spans="1:13" ht="27.6">
      <c r="A324" s="155" t="s">
        <v>807</v>
      </c>
      <c r="D324" s="155" t="s">
        <v>285</v>
      </c>
      <c r="E324" s="213" t="s">
        <v>13342</v>
      </c>
      <c r="F324" s="155" t="s">
        <v>304</v>
      </c>
      <c r="G324" s="272" t="s">
        <v>286</v>
      </c>
      <c r="H324" s="155" t="s">
        <v>126</v>
      </c>
      <c r="I324" s="155" t="s">
        <v>254</v>
      </c>
      <c r="J324" s="155" t="s">
        <v>1323</v>
      </c>
      <c r="K324" s="155" t="s">
        <v>120</v>
      </c>
      <c r="L324" s="255" t="s">
        <v>298</v>
      </c>
      <c r="M324" s="155" t="s">
        <v>14709</v>
      </c>
    </row>
    <row r="325" spans="1:13" ht="27.6">
      <c r="A325" s="155" t="s">
        <v>807</v>
      </c>
      <c r="D325" s="155" t="s">
        <v>287</v>
      </c>
      <c r="E325" s="213" t="s">
        <v>13343</v>
      </c>
      <c r="F325" s="155" t="s">
        <v>305</v>
      </c>
      <c r="G325" s="272" t="s">
        <v>288</v>
      </c>
      <c r="H325" s="155" t="s">
        <v>127</v>
      </c>
      <c r="I325" s="155" t="s">
        <v>255</v>
      </c>
      <c r="J325" s="155" t="s">
        <v>1324</v>
      </c>
      <c r="K325" s="155" t="s">
        <v>118</v>
      </c>
      <c r="L325" s="255" t="s">
        <v>289</v>
      </c>
      <c r="M325" s="155" t="s">
        <v>14710</v>
      </c>
    </row>
    <row r="326" spans="1:13" ht="69">
      <c r="A326" s="155" t="s">
        <v>807</v>
      </c>
      <c r="D326" s="155" t="s">
        <v>290</v>
      </c>
      <c r="E326" s="213" t="s">
        <v>13344</v>
      </c>
      <c r="F326" s="155" t="s">
        <v>14882</v>
      </c>
      <c r="G326" s="272"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1640625" defaultRowHeight="12.6"/>
  <cols>
    <col min="1" max="1" width="20.6328125" style="65" customWidth="1"/>
    <col min="2" max="2" width="57.1796875" style="65" customWidth="1"/>
    <col min="3" max="16384" width="8.8164062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C0C51AFA-A381-4C75-92B8-2A0A01210359}"/>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1640625" defaultRowHeight="12.6"/>
  <cols>
    <col min="1" max="1" width="11.1796875" customWidth="1"/>
    <col min="2" max="2" width="25.7265625" customWidth="1"/>
    <col min="3" max="3" width="11.9062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DED8AAC9-0859-4634-929E-1A040B16CAFD}"/>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Desiree Geibel</cp:lastModifiedBy>
  <cp:lastPrinted>2015-04-21T20:47:43Z</cp:lastPrinted>
  <dcterms:created xsi:type="dcterms:W3CDTF">2010-06-21T21:00:23Z</dcterms:created>
  <dcterms:modified xsi:type="dcterms:W3CDTF">2025-05-28T19:13:22Z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