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mike\Desktop\Packslips\"/>
    </mc:Choice>
  </mc:AlternateContent>
  <workbookProtection workbookAlgorithmName="SHA-512" workbookHashValue="PJamLc3UEg6uF4+PaF0OvuZJtJvRQpysmaIe2GJqkRkyk0b/Ev6458M7wsuCjRVzq85fXwcuo2UdQR1FhB18kw==" workbookSaltValue="SnsnYomJSaydyWsqhERgHw==" workbookSpinCount="100000" lockStructure="1"/>
  <bookViews>
    <workbookView xWindow="0" yWindow="0" windowWidth="21600" windowHeight="973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 i="5" l="1"/>
  <c r="P3" i="4"/>
  <c r="C4" i="5"/>
  <c r="F69" i="6"/>
  <c r="D4" i="5"/>
  <c r="E4"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G69" i="6" a="1"/>
  <c r="G69" i="6"/>
  <c r="B6" i="5"/>
  <c r="C6" i="5"/>
  <c r="V6"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7" i="5"/>
  <c r="V7" i="5"/>
  <c r="C8" i="5"/>
  <c r="V8" i="5"/>
  <c r="C9" i="5"/>
  <c r="V9" i="5"/>
  <c r="C10" i="5"/>
  <c r="V10" i="5"/>
  <c r="C11" i="5"/>
  <c r="V11" i="5"/>
  <c r="C12" i="5"/>
  <c r="V12" i="5"/>
  <c r="C13" i="5"/>
  <c r="V13" i="5"/>
  <c r="C14" i="5"/>
  <c r="V14"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G64" i="6" a="1"/>
  <c r="G64" i="6"/>
  <c r="B7" i="5"/>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X26" i="5"/>
  <c r="I59" i="5"/>
  <c r="X63" i="5"/>
  <c r="I126" i="5"/>
  <c r="H126" i="5"/>
  <c r="H147" i="5"/>
  <c r="I147" i="5"/>
  <c r="F147" i="5"/>
  <c r="R237" i="5"/>
  <c r="F237" i="5"/>
  <c r="X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J5"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<sst xmlns="http://schemas.openxmlformats.org/spreadsheetml/2006/main" count="22144" uniqueCount="15661">
  <si>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</si>
  <si>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</si>
  <si>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</si>
  <si>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</si>
  <si>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</si>
  <si>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</si>
  <si>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</si>
  <si>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</si>
  <si>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</si>
  <si>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</si>
  <si>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</si>
  <si>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</si>
  <si>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</si>
  <si>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</si>
  <si>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</si>
  <si>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</si>
  <si>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</si>
  <si>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</si>
  <si>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</si>
  <si>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</si>
  <si>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</si>
  <si>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</si>
  <si>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</si>
  <si>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</si>
  <si>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</si>
  <si>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</si>
  <si>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</si>
  <si>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</si>
  <si>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</si>
  <si>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</si>
  <si>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</si>
  <si>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</si>
  <si>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</si>
  <si>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</si>
  <si>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</si>
  <si>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</si>
  <si>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</si>
  <si>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</si>
  <si>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</si>
  <si>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</si>
  <si>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</si>
  <si>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</si>
  <si>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</si>
  <si>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</si>
  <si>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</si>
  <si>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</si>
  <si>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</si>
  <si>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</si>
  <si>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</si>
  <si>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</si>
  <si>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</si>
  <si>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</si>
  <si>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</si>
  <si>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</si>
  <si>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</si>
  <si>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</si>
  <si>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</si>
  <si>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</si>
  <si>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</si>
  <si>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</si>
  <si>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</si>
  <si>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</si>
  <si>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</si>
  <si>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</si>
  <si>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</si>
  <si>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</si>
  <si>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</si>
  <si>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</si>
  <si>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</si>
  <si>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</si>
  <si>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</si>
  <si>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</si>
  <si>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</si>
  <si>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</si>
  <si>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</si>
  <si>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</si>
  <si>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</si>
  <si>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</si>
  <si>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</si>
  <si>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</si>
  <si>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</si>
  <si>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</si>
  <si>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</si>
  <si>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</si>
  <si>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</si>
  <si>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</si>
  <si>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</si>
  <si>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</si>
  <si>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</si>
  <si>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</si>
  <si>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</si>
  <si>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</si>
  <si>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</si>
  <si>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</si>
  <si>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</si>
  <si>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</si>
  <si>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</si>
  <si>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</si>
  <si>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</si>
  <si>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</si>
  <si>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</si>
  <si>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</si>
  <si>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</si>
  <si>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</si>
  <si>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</si>
  <si>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</si>
  <si>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</si>
  <si>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</si>
  <si>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</si>
  <si>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</si>
  <si>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</si>
  <si>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</si>
  <si>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</si>
  <si>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</si>
  <si>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</si>
  <si>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</si>
  <si>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</si>
  <si>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</si>
  <si>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</si>
  <si>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</si>
  <si>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</si>
  <si>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</si>
  <si>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</si>
  <si>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</si>
  <si>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</si>
  <si>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</si>
  <si>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</si>
  <si>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</si>
  <si>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</si>
  <si>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</si>
  <si>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</si>
  <si>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</si>
  <si>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</si>
  <si>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</si>
  <si>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</si>
  <si>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</si>
  <si>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</si>
  <si>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</si>
  <si>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</si>
  <si>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</si>
  <si>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</si>
  <si>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</si>
  <si>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</si>
  <si>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</si>
  <si>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</si>
  <si>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</si>
  <si>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</si>
  <si>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</si>
  <si>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</si>
  <si>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</si>
  <si>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</si>
  <si>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</si>
  <si>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</si>
  <si>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</si>
  <si>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</si>
  <si>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</si>
  <si>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</si>
  <si>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</si>
  <si>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</si>
  <si>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</si>
  <si>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</si>
  <si>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</si>
  <si>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</si>
  <si>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</si>
  <si>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</si>
  <si>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</si>
  <si>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</si>
  <si>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</si>
  <si>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</si>
  <si>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</si>
  <si>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</si>
  <si>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</si>
  <si>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</si>
  <si>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</si>
  <si>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</si>
  <si>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</si>
  <si>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</si>
  <si>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</si>
  <si>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</si>
  <si>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</si>
  <si>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</si>
  <si>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</si>
  <si>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</si>
  <si>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</si>
  <si>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</si>
  <si>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</si>
  <si>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</si>
  <si>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</si>
  <si>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</si>
  <si>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</si>
  <si>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</si>
  <si>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</si>
  <si>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</si>
  <si>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</si>
  <si>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</si>
  <si>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</si>
  <si>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</si>
  <si>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</si>
  <si>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</si>
  <si>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</si>
  <si>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</si>
  <si>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</si>
  <si>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</si>
  <si>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</si>
  <si>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</si>
  <si>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</si>
  <si>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</si>
  <si>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</si>
  <si>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</si>
  <si>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</si>
  <si>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</si>
  <si>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</si>
  <si>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</si>
  <si>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</si>
  <si>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</si>
  <si>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</si>
  <si>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</si>
  <si>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</si>
  <si>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</si>
  <si>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</si>
  <si>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</si>
  <si>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</si>
  <si>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</si>
  <si>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</si>
  <si>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</si>
  <si>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</si>
  <si>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</si>
  <si>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</si>
  <si>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</si>
  <si>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</si>
  <si>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</si>
  <si>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</si>
  <si>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</si>
  <si>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</si>
  <si>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</si>
  <si>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</si>
  <si>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</si>
  <si>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</si>
  <si>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</si>
  <si>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</si>
  <si>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</si>
  <si>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</si>
  <si>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</si>
  <si>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</si>
  <si>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</si>
  <si>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</si>
  <si>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</si>
  <si>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</si>
  <si>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</si>
  <si>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</si>
  <si>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</si>
  <si>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</si>
  <si>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</si>
  <si>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</si>
  <si>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</si>
  <si>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</si>
  <si>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</si>
  <si>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</si>
  <si>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</si>
  <si>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</si>
  <si>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</si>
  <si>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</si>
  <si>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</si>
  <si>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</si>
  <si>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</si>
  <si>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</si>
  <si>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</si>
  <si>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</si>
  <si>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</si>
  <si>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</si>
  <si>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</si>
  <si>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</si>
  <si>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</si>
  <si>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</si>
  <si>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</si>
  <si>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</si>
  <si>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</si>
  <si>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</si>
  <si>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</si>
  <si>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</si>
  <si>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</si>
  <si>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</si>
  <si>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</si>
  <si>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</si>
  <si>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</si>
  <si>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</si>
  <si>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</si>
  <si>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</si>
  <si>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</si>
  <si>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</si>
  <si>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</si>
  <si>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</si>
  <si>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</si>
  <si>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</si>
  <si>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</si>
  <si>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</si>
  <si>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</si>
  <si>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</si>
  <si>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</si>
  <si>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</si>
  <si>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</si>
  <si>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</si>
  <si>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</si>
  <si>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</si>
  <si>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</si>
  <si>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</si>
  <si>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</si>
  <si>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</si>
  <si>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</si>
  <si>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</si>
  <si>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</si>
  <si>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</si>
  <si>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</si>
  <si>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</si>
  <si>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</si>
  <si>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</si>
  <si>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</si>
  <si>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</si>
  <si>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</si>
  <si>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</si>
  <si>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</si>
  <si>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</si>
  <si>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</si>
  <si>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</si>
  <si>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</si>
  <si>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</si>
  <si>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</si>
  <si>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</si>
  <si>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</si>
  <si>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</si>
  <si>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</si>
  <si>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</si>
  <si>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</si>
  <si>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</si>
  <si>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</si>
  <si>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</si>
  <si>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</si>
  <si>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</si>
  <si>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</si>
  <si>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</si>
  <si>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</si>
  <si>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</si>
  <si>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</si>
  <si>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</si>
  <si>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</si>
  <si>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</si>
  <si>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</si>
  <si>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</si>
  <si>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</si>
  <si>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</si>
  <si>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</si>
  <si>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</si>
  <si>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</si>
  <si>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</si>
  <si>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</si>
  <si>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</si>
  <si>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</si>
  <si>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</si>
  <si>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</si>
  <si>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</si>
  <si>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</si>
  <si>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</si>
  <si>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</si>
  <si>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</si>
  <si>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</si>
  <si>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</si>
  <si>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</si>
  <si>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</si>
  <si>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</si>
  <si>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</si>
  <si>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</si>
  <si>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</si>
  <si>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</si>
  <si>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</si>
  <si>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</si>
  <si>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</si>
  <si>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</si>
  <si>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</si>
  <si>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</si>
  <si>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</si>
  <si>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</si>
  <si>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</si>
  <si>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</si>
  <si>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</si>
  <si>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</si>
  <si>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</si>
  <si>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</si>
  <si>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</si>
  <si>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</si>
  <si>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</si>
  <si>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</si>
  <si>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</si>
  <si>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</si>
  <si>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</si>
  <si>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</si>
  <si>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</si>
  <si>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</si>
  <si>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</si>
  <si>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</si>
  <si>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</si>
  <si>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</si>
  <si>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</si>
  <si>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</si>
  <si>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</si>
  <si>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</si>
  <si>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</si>
  <si>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</si>
  <si>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</si>
  <si>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</si>
  <si>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</si>
  <si>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</si>
  <si>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</si>
  <si>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</si>
  <si>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</si>
  <si>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</si>
  <si>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</si>
  <si>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</si>
  <si>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</si>
  <si>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</si>
  <si>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</si>
  <si>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</si>
  <si>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</si>
  <si>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</si>
  <si>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</si>
  <si>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</si>
  <si>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</si>
  <si>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</si>
  <si>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</si>
  <si>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</si>
  <si>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</si>
  <si>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</si>
  <si>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</si>
  <si>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</si>
  <si>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</si>
  <si>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</si>
  <si>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</si>
  <si>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</si>
  <si>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</si>
  <si>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</si>
  <si>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</si>
  <si>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</si>
  <si>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</si>
  <si>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</si>
  <si>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</si>
  <si>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</si>
  <si>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</si>
  <si>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</si>
  <si>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</si>
  <si>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</si>
  <si>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</si>
  <si>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</si>
  <si>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</si>
  <si>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</si>
  <si>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</si>
  <si>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</si>
  <si>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</si>
  <si>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</si>
  <si>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</si>
  <si>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</si>
  <si>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</si>
  <si>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</si>
  <si>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</si>
  <si>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</si>
  <si>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</si>
  <si>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</si>
  <si>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</si>
  <si>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</si>
  <si>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</si>
  <si>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</si>
  <si>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</si>
  <si>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</si>
  <si>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</si>
  <si>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</si>
  <si>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</si>
  <si>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</si>
  <si>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</si>
  <si>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</si>
  <si>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</si>
  <si>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</si>
  <si>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</si>
  <si>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</si>
  <si>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</si>
  <si>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</si>
  <si>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</si>
  <si>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</si>
  <si>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</si>
  <si>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</si>
  <si>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</si>
  <si>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</si>
  <si>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</si>
  <si>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</si>
  <si>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</si>
  <si>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</si>
  <si>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</si>
  <si>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</si>
  <si>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</si>
  <si>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</si>
  <si>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</si>
  <si>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</si>
  <si>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</si>
  <si>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</si>
  <si>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</si>
  <si>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</si>
  <si>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</si>
  <si>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</si>
  <si>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</si>
  <si>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</si>
  <si>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</si>
  <si>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</si>
  <si>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</si>
  <si>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</si>
  <si>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</si>
  <si>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</si>
  <si>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</si>
  <si>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</si>
  <si>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</si>
  <si>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</si>
  <si>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</si>
  <si>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</si>
  <si>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</si>
  <si>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</si>
  <si>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</si>
  <si>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</si>
  <si>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</si>
  <si>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</si>
  <si>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</si>
  <si>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</si>
  <si>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</si>
  <si>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</si>
  <si>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</si>
  <si>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</si>
  <si>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</si>
  <si>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</si>
  <si>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</si>
  <si>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</si>
  <si>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</si>
  <si>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</si>
  <si>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</si>
  <si>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</si>
  <si>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</si>
  <si>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</si>
  <si>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</si>
  <si>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</si>
  <si>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</si>
  <si>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</si>
  <si>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</si>
  <si>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</si>
  <si>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</si>
  <si>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</si>
  <si>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</si>
  <si>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</si>
  <si>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</si>
  <si>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</si>
  <si>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</si>
  <si>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</si>
  <si>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</si>
  <si>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</si>
  <si>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</si>
  <si>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</si>
  <si>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</si>
  <si>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</si>
  <si>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</si>
  <si>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</si>
  <si>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</si>
  <si>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</si>
  <si>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</si>
  <si>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</si>
  <si>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</si>
  <si>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</si>
  <si>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</si>
  <si>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</si>
  <si>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</si>
  <si>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</si>
  <si>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</si>
  <si>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</si>
  <si>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</si>
  <si>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</si>
  <si>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</si>
  <si>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</si>
  <si>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</si>
  <si>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</si>
  <si>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</si>
  <si>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</si>
  <si>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</si>
  <si>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</si>
  <si>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</si>
  <si>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</si>
  <si>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</si>
  <si>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</si>
  <si>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</si>
  <si>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</si>
  <si>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</si>
  <si>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</si>
  <si>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</si>
  <si>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</si>
  <si>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</si>
  <si>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</si>
  <si>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</si>
  <si>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</si>
  <si>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</si>
  <si>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</si>
  <si>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</si>
  <si>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</si>
  <si>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</si>
  <si>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</si>
  <si>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</si>
  <si>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</si>
  <si>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</si>
  <si>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</si>
  <si>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</si>
  <si>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</si>
  <si>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</si>
  <si>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</si>
  <si>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</si>
  <si>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</si>
  <si>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</si>
  <si>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</si>
  <si>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</si>
  <si>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</si>
  <si>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</si>
  <si>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</si>
  <si>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</si>
  <si>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</si>
  <si>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</si>
  <si>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</si>
  <si>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</si>
  <si>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</si>
  <si>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</si>
  <si>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</si>
  <si>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</si>
  <si>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</si>
  <si>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</si>
  <si>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</si>
  <si>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</si>
  <si>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</si>
  <si>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</si>
  <si>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</si>
  <si>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</si>
  <si>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</si>
  <si>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</si>
  <si>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</si>
  <si>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</si>
  <si>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</si>
  <si>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</si>
  <si>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</si>
  <si>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</si>
  <si>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</si>
  <si>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</si>
  <si>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</si>
  <si>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</si>
  <si>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</si>
  <si>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</si>
  <si>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</si>
  <si>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</si>
  <si>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</si>
  <si>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</si>
  <si>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</si>
  <si>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</si>
  <si>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</si>
  <si>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</si>
  <si>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</si>
  <si>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</si>
  <si>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</si>
  <si>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</si>
  <si>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</si>
  <si>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</si>
  <si>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</si>
  <si>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</si>
  <si>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</si>
  <si>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</si>
  <si>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</si>
  <si>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</si>
  <si>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</si>
  <si>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</si>
  <si>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</si>
  <si>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</si>
  <si>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</si>
  <si>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</si>
  <si>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</si>
  <si>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</si>
  <si>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</si>
  <si>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</si>
  <si>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</si>
  <si>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</si>
  <si>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</si>
  <si>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</si>
  <si>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</si>
  <si>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</si>
  <si>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</si>
  <si>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</si>
  <si>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</si>
  <si>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</si>
  <si>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</si>
  <si>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</si>
  <si>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</si>
  <si>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</si>
  <si>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</si>
  <si>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</si>
  <si>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</si>
  <si>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</si>
  <si>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</si>
  <si>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</si>
  <si>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</si>
  <si>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</si>
  <si>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</si>
  <si>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</si>
  <si>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</si>
  <si>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</si>
  <si>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</si>
  <si>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</si>
  <si>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</si>
  <si>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</si>
  <si>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</si>
  <si>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</si>
  <si>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</si>
  <si>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</si>
  <si>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</si>
  <si>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</si>
  <si>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</si>
  <si>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</si>
  <si>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</si>
  <si>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</si>
  <si>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</si>
  <si>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</si>
  <si>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</si>
  <si>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</si>
  <si>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</si>
  <si>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</si>
  <si>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</si>
  <si>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</si>
  <si>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</si>
  <si>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</si>
  <si>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</si>
  <si>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</si>
  <si>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</si>
  <si>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</si>
  <si>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</si>
  <si>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</si>
  <si>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</si>
  <si>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</si>
  <si>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</si>
  <si>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</si>
  <si>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</si>
  <si>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</si>
  <si>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</si>
  <si>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</si>
  <si>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</si>
  <si>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</si>
  <si>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</si>
  <si>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</si>
  <si>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</si>
  <si>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</si>
  <si>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</si>
  <si>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</si>
  <si>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</si>
  <si>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</si>
  <si>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</si>
  <si>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</si>
  <si>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</si>
  <si>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</si>
  <si>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</si>
  <si>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</si>
  <si>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</si>
  <si>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</si>
  <si>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</si>
  <si>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</si>
  <si>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</si>
  <si>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</si>
  <si>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</si>
  <si>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</si>
  <si>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</si>
  <si>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</si>
  <si>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</si>
  <si>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</si>
  <si>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</si>
  <si>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</si>
  <si>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</si>
  <si>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</si>
  <si>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</si>
  <si>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</si>
  <si>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</si>
  <si>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</si>
  <si>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</si>
  <si>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</si>
  <si>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</si>
  <si>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</si>
  <si>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</si>
  <si>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</si>
  <si>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</si>
  <si>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</si>
  <si>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</si>
  <si>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</si>
  <si>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</si>
  <si>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</si>
  <si>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</si>
  <si>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</si>
  <si>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</si>
  <si>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</si>
  <si>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</si>
  <si>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</si>
  <si>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</si>
  <si>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</si>
  <si>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</si>
  <si>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</si>
  <si>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</si>
  <si>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</si>
  <si>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</si>
  <si>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</si>
  <si>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</si>
  <si>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</si>
  <si>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</si>
  <si>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</si>
  <si>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</si>
  <si>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</si>
  <si>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</si>
  <si>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</si>
  <si>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</si>
  <si>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</si>
  <si>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</si>
  <si>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</si>
  <si>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</si>
  <si>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</si>
  <si>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</si>
  <si>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</si>
  <si>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</si>
  <si>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</si>
  <si>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</si>
  <si>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</si>
  <si>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</si>
  <si>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</si>
  <si>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</si>
  <si>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</si>
  <si>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</si>
  <si>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</si>
  <si>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</si>
  <si>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</si>
  <si>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</si>
  <si>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</si>
  <si>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</si>
  <si>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</si>
  <si>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</si>
  <si>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</si>
  <si>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</si>
  <si>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</si>
  <si>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</si>
  <si>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</si>
  <si>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</si>
  <si>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</si>
  <si>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</si>
  <si>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</si>
  <si>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</si>
  <si>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</si>
  <si>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</si>
  <si>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</si>
  <si>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</si>
  <si>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</si>
  <si>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</si>
  <si>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</si>
  <si>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</si>
  <si>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</si>
  <si>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</si>
  <si>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</si>
  <si>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</si>
  <si>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</si>
  <si>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</si>
  <si>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</si>
  <si>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</si>
  <si>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</si>
  <si>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</si>
  <si>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</si>
  <si>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</si>
  <si>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</si>
  <si>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</si>
  <si>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</si>
  <si>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</si>
  <si>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</si>
  <si>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</si>
  <si>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</si>
  <si>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</si>
  <si>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</si>
  <si>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</si>
  <si>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</si>
  <si>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</si>
  <si>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</si>
  <si>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</si>
  <si>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</si>
  <si>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</si>
  <si>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</si>
  <si>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</si>
  <si>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</si>
  <si>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</si>
  <si>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</si>
  <si>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</si>
  <si>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</si>
  <si>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</si>
  <si>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</si>
  <si>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</si>
  <si>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</si>
  <si>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</si>
  <si>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</si>
  <si>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</si>
  <si>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</si>
  <si>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</si>
  <si>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</si>
  <si>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</si>
  <si>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</si>
  <si>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</si>
  <si>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</si>
  <si>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</si>
  <si>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</si>
  <si>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</si>
  <si>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</si>
  <si>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</si>
  <si>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</si>
  <si>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</si>
  <si>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</si>
  <si>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</si>
  <si>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</si>
  <si>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</si>
  <si>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</si>
  <si>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</si>
  <si>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</si>
  <si>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</si>
  <si>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</si>
  <si>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</si>
  <si>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</si>
  <si>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</si>
  <si>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</si>
  <si>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</si>
  <si>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</si>
  <si>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</si>
  <si>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</si>
  <si>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</si>
  <si>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</si>
  <si>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</si>
  <si>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</si>
  <si>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</si>
  <si>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</si>
  <si>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</si>
  <si>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</si>
  <si>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</si>
  <si>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</si>
  <si>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</si>
  <si>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</si>
  <si>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</si>
  <si>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</si>
  <si>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</si>
  <si>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</si>
  <si>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</si>
  <si>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</si>
  <si>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</si>
  <si>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</si>
  <si>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</si>
  <si>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</si>
  <si>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</si>
  <si>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</si>
  <si>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</si>
  <si>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</si>
  <si>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</si>
  <si>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</si>
  <si>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</si>
  <si>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</si>
  <si>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</si>
  <si>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</si>
  <si>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</si>
  <si>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</si>
  <si>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</si>
  <si>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</si>
  <si>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</si>
  <si>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</si>
  <si>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</si>
  <si>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</si>
  <si>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</si>
  <si>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</si>
  <si>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</si>
  <si>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</si>
  <si>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</si>
  <si>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</si>
  <si>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</si>
  <si>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</si>
  <si>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</si>
  <si>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</si>
  <si>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</si>
  <si>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</si>
  <si>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</si>
  <si>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</si>
  <si>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</si>
  <si>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</si>
  <si>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</si>
  <si>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</si>
  <si>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</si>
  <si>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</si>
  <si>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</si>
  <si>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</si>
  <si>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</si>
  <si>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</si>
  <si>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</si>
  <si>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</si>
  <si>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</si>
  <si>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</si>
  <si>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</si>
  <si>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</si>
  <si>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</si>
  <si>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</si>
  <si>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</si>
  <si>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</si>
  <si>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</si>
  <si>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</si>
  <si>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</si>
  <si>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</si>
  <si>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</si>
  <si>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</si>
  <si>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</si>
  <si>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</si>
  <si>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</si>
  <si>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</si>
  <si>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</si>
  <si>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</si>
  <si>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</si>
  <si>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</si>
  <si>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</si>
  <si>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</si>
  <si>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</si>
  <si>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</si>
  <si>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</si>
  <si>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</si>
  <si>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</si>
  <si>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</si>
  <si>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</si>
  <si>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</si>
  <si>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</si>
  <si>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</si>
  <si>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</si>
  <si>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</si>
  <si>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</si>
  <si>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</si>
  <si>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</si>
  <si>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</si>
  <si>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</si>
  <si>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</si>
  <si>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</si>
  <si>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</si>
  <si>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</si>
  <si>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</si>
  <si>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</si>
  <si>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</si>
  <si>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</si>
  <si>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</si>
  <si>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</si>
  <si>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</si>
  <si>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</si>
  <si>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</si>
  <si>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</si>
  <si>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</si>
  <si>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</si>
  <si>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</si>
  <si>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</si>
  <si>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</si>
  <si>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</si>
  <si>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</si>
  <si>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</si>
  <si>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</si>
  <si>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</si>
  <si>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</si>
  <si>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</si>
  <si>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</si>
  <si>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</si>
  <si>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</si>
  <si>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</si>
  <si>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</si>
  <si>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</si>
  <si>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</si>
  <si>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</si>
  <si>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</si>
  <si>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</si>
  <si>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</si>
  <si>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</si>
  <si>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</si>
  <si>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</si>
  <si>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</si>
  <si>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</si>
  <si>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</si>
  <si>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</si>
  <si>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</si>
  <si>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</si>
  <si>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</si>
  <si>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</si>
  <si>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</si>
  <si>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</si>
  <si>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</si>
  <si>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</si>
  <si>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</si>
  <si>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</si>
  <si>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</si>
  <si>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</si>
  <si>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</si>
  <si>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</si>
  <si>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</si>
  <si>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</si>
  <si>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</si>
  <si>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</si>
  <si>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</si>
  <si>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</si>
  <si>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</si>
  <si>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</si>
  <si>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</si>
  <si>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</si>
  <si>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</si>
  <si>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</si>
  <si>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</si>
  <si>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</si>
  <si>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</si>
  <si>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</si>
  <si>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</si>
  <si>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</si>
  <si>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</si>
  <si>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</si>
  <si>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</si>
  <si>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</si>
  <si>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</si>
  <si>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</si>
  <si>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</si>
  <si>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</si>
  <si>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</si>
  <si>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</si>
  <si>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</si>
  <si>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</si>
  <si>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</si>
  <si>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</si>
  <si>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</si>
  <si>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</si>
  <si>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</si>
  <si>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</si>
  <si>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</si>
  <si>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</si>
  <si>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</si>
  <si>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</si>
  <si>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</si>
  <si>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</si>
  <si>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</si>
  <si>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</si>
  <si>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</si>
  <si>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</si>
  <si>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</si>
  <si>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</si>
  <si>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</si>
  <si>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</si>
  <si>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</si>
  <si>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</si>
  <si>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</si>
  <si>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</si>
  <si>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</si>
  <si>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</si>
  <si>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</si>
  <si>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</si>
  <si>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</si>
  <si>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</si>
  <si>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</si>
  <si>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</si>
  <si>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</si>
  <si>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</si>
  <si>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</si>
  <si>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</si>
  <si>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</si>
  <si>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</si>
  <si>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</si>
  <si>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</si>
  <si>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</si>
  <si>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</si>
  <si>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</si>
  <si>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</si>
  <si>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</si>
  <si>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</si>
  <si>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</si>
  <si>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</si>
  <si>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</si>
  <si>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</si>
  <si>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</si>
  <si>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</si>
  <si>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</si>
  <si>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</si>
  <si>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</si>
  <si>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</si>
  <si>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</si>
  <si>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</si>
  <si>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</si>
  <si>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</si>
  <si>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</si>
  <si>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</si>
  <si>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</si>
  <si>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</si>
  <si>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</si>
  <si>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</si>
  <si>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</si>
  <si>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</si>
  <si>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</si>
  <si>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</si>
  <si>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</si>
  <si>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</si>
  <si>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</si>
  <si>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</si>
  <si>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</si>
  <si>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</si>
  <si>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</si>
  <si>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</si>
  <si>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</si>
  <si>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</si>
  <si>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</si>
  <si>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</si>
  <si>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</si>
  <si>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</si>
  <si>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</si>
  <si>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</si>
  <si>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</si>
  <si>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</si>
  <si>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</si>
  <si>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</si>
  <si>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</si>
  <si>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</si>
  <si>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</si>
  <si>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</si>
  <si>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</si>
  <si>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</si>
  <si>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</si>
  <si>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</si>
  <si>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</si>
  <si>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</si>
  <si>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</si>
  <si>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</si>
  <si>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</si>
  <si>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</si>
  <si>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</si>
  <si>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</si>
  <si>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</si>
  <si>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</si>
  <si>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</si>
  <si>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</si>
  <si>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</si>
  <si>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</si>
  <si>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</si>
  <si>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</si>
  <si>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</si>
  <si>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</si>
  <si>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</si>
  <si>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</si>
  <si>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</si>
  <si>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</si>
  <si>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</si>
  <si>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</si>
  <si>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</si>
  <si>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</si>
  <si>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</si>
  <si>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</si>
  <si>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</si>
  <si>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</si>
  <si>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</si>
  <si>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</si>
  <si>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</si>
  <si>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</si>
  <si>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</si>
  <si>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</si>
  <si>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</si>
  <si>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</si>
  <si>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</si>
  <si>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</si>
  <si>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</si>
  <si>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</si>
  <si>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</si>
  <si>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</si>
  <si>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</si>
  <si>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</si>
  <si>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</si>
  <si>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</si>
  <si>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</si>
  <si>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</si>
  <si>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</si>
  <si>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</si>
  <si>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</si>
  <si>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</si>
  <si>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</si>
  <si>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</si>
  <si>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</si>
  <si>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</si>
  <si>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</si>
  <si>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</si>
  <si>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</si>
  <si>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</si>
  <si>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</si>
  <si>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</si>
  <si>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</si>
  <si>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</si>
  <si>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</si>
  <si>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</si>
  <si>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</si>
  <si>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</si>
  <si>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</si>
  <si>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</si>
  <si>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</si>
  <si>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</si>
  <si>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</si>
  <si>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</si>
  <si>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</si>
  <si>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</si>
  <si>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</si>
  <si>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</si>
  <si>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</si>
  <si>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</si>
  <si>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</si>
  <si>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</si>
  <si>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</si>
  <si>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</si>
  <si>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</si>
  <si>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</si>
  <si>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</si>
  <si>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</si>
  <si>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</si>
  <si>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</si>
  <si>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</si>
  <si>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</si>
  <si>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</si>
  <si>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</si>
  <si>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</si>
  <si>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</si>
  <si>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</si>
  <si>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</si>
  <si>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</si>
  <si>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</si>
  <si>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</si>
  <si>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</si>
  <si>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</si>
  <si>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</si>
  <si>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</si>
  <si>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</si>
  <si>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</si>
  <si>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</si>
  <si>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</si>
  <si>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</si>
  <si>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</si>
  <si>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</si>
  <si>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</si>
  <si>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</si>
  <si>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</si>
  <si>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</si>
  <si>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</si>
  <si>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</si>
  <si>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</si>
  <si>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</si>
  <si>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</si>
  <si>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</si>
  <si>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</si>
  <si>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</si>
  <si>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</si>
  <si>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</si>
  <si>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</si>
  <si>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</si>
  <si>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</si>
  <si>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</si>
  <si>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</si>
  <si>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</si>
  <si>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</si>
  <si>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</si>
  <si>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</si>
  <si>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</si>
  <si>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</si>
  <si>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</si>
  <si>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</si>
  <si>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</si>
  <si>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</si>
  <si>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</si>
  <si>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</si>
  <si>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</si>
  <si>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</si>
  <si>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</si>
  <si>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</si>
  <si>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</si>
  <si>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</si>
  <si>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</si>
  <si>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</si>
  <si>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</si>
  <si>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</si>
  <si>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</si>
  <si>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</si>
  <si>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</si>
  <si>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</si>
  <si>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</si>
  <si>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</si>
  <si>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</si>
  <si>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</si>
  <si>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</si>
  <si>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</si>
  <si>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</si>
  <si>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</si>
  <si>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</si>
  <si>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</si>
  <si>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</si>
  <si>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</si>
  <si>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</si>
  <si>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</si>
  <si>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</si>
  <si>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</si>
  <si>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</si>
  <si>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</si>
  <si>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</si>
  <si>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</si>
  <si>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</si>
  <si>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</si>
  <si>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</si>
  <si>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</si>
  <si>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</si>
  <si>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</si>
  <si>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</si>
  <si>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</si>
  <si>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</si>
  <si>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</si>
  <si>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</si>
  <si>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</si>
  <si>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</si>
  <si>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</si>
  <si>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</si>
  <si>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</si>
  <si>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</si>
  <si>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</si>
  <si>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</si>
  <si>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</si>
  <si>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</si>
  <si>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</si>
  <si>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</si>
  <si>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</si>
  <si>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</si>
  <si>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</si>
  <si>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</si>
  <si>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</si>
  <si>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</si>
  <si>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</si>
  <si>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</si>
  <si>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</si>
  <si>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</si>
  <si>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</si>
  <si>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</si>
  <si>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</si>
  <si>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</si>
  <si>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</si>
  <si>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</si>
  <si>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</si>
  <si>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</si>
  <si>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</si>
  <si>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</si>
  <si>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</si>
  <si>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</si>
  <si>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</si>
  <si>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</si>
  <si>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</si>
  <si>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</si>
  <si>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</si>
  <si>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</si>
  <si>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</si>
  <si>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</si>
  <si>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</si>
  <si>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</si>
  <si>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</si>
  <si>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</si>
  <si>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</si>
  <si>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</si>
  <si>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</si>
  <si>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</si>
  <si>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</si>
  <si>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</si>
  <si>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</si>
  <si>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</si>
  <si>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</si>
  <si>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</si>
  <si>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</si>
  <si>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</si>
  <si>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</si>
  <si>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</si>
  <si>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</si>
  <si>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</si>
  <si>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</si>
  <si>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</si>
  <si>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</si>
  <si>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</si>
  <si>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</si>
  <si>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</si>
  <si>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</si>
  <si>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</si>
  <si>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</si>
  <si>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</si>
  <si>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</si>
  <si>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</si>
  <si>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</si>
  <si>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</si>
  <si>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</si>
  <si>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</si>
  <si>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</si>
  <si>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</si>
  <si>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</si>
  <si>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</si>
  <si>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</si>
  <si>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</si>
  <si>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</si>
  <si>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</si>
  <si>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</si>
  <si>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</si>
  <si>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</si>
  <si>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</si>
  <si>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</si>
  <si>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</si>
  <si>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</si>
  <si>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</si>
  <si>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</si>
  <si>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</si>
  <si>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</si>
  <si>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</si>
  <si>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</si>
  <si>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</si>
  <si>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</si>
  <si>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</si>
  <si>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</si>
  <si>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</si>
  <si>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</si>
  <si>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</si>
  <si>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</si>
  <si>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</si>
  <si>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</si>
  <si>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</si>
  <si>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</si>
  <si>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</si>
  <si>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</si>
  <si>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</si>
  <si>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</si>
  <si>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</si>
  <si>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</si>
  <si>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</si>
  <si>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</si>
  <si>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</si>
  <si>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</si>
  <si>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</si>
  <si>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</si>
  <si>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</si>
  <si>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</si>
  <si>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</si>
  <si>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</si>
  <si>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</si>
  <si>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</si>
  <si>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</si>
  <si>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</si>
  <si>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</si>
  <si>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</si>
  <si>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</si>
  <si>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</si>
  <si>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</si>
  <si>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</si>
  <si>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</si>
  <si>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</si>
  <si>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</si>
  <si>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</si>
  <si>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</si>
  <si>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</si>
  <si>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</si>
  <si>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</si>
  <si>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</si>
  <si>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</si>
  <si>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</si>
  <si>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</si>
  <si>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</si>
  <si>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</si>
  <si>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</si>
  <si>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</si>
  <si>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</si>
  <si>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</si>
  <si>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</si>
  <si>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</si>
  <si>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</si>
  <si>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</si>
  <si>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</si>
  <si>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</si>
  <si>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</si>
  <si>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</si>
  <si>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</si>
  <si>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</si>
  <si>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</si>
  <si>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</si>
  <si>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</si>
  <si>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</si>
  <si>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</si>
  <si>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</si>
  <si>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</si>
  <si>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</si>
  <si>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</si>
  <si>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</si>
  <si>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</si>
  <si>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</si>
  <si>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</si>
  <si>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</si>
  <si>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</si>
  <si>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</si>
  <si>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</si>
  <si>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</si>
  <si>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</si>
  <si>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</si>
  <si>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</si>
  <si>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</si>
  <si>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</si>
  <si>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</si>
  <si>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</si>
  <si>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</si>
  <si>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</si>
  <si>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</si>
  <si>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</si>
  <si>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</si>
  <si>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</si>
  <si>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</si>
  <si>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</si>
  <si>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</si>
  <si>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</si>
  <si>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</si>
  <si>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</si>
  <si>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</si>
  <si>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</si>
  <si>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</si>
  <si>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</si>
  <si>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</si>
  <si>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</si>
  <si>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</si>
  <si>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</si>
  <si>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</si>
  <si>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</si>
  <si>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</si>
  <si>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</si>
  <si>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</si>
  <si>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</si>
  <si>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</si>
  <si>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</si>
  <si>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</si>
  <si>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</si>
  <si>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</si>
  <si>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</si>
  <si>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</si>
  <si>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</si>
  <si>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</si>
  <si>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</si>
  <si>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</si>
  <si>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</si>
  <si>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</si>
  <si>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</si>
  <si>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</si>
  <si>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</si>
  <si>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</si>
  <si>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</si>
  <si>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</si>
  <si>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</si>
  <si>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</si>
  <si>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</si>
  <si>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</si>
  <si>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</si>
  <si>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</si>
  <si>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</si>
  <si>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</si>
  <si>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</si>
  <si>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</si>
  <si>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</si>
  <si>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</si>
  <si>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</si>
  <si>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</si>
  <si>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</si>
  <si>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</si>
  <si>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</si>
  <si>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</si>
  <si>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</si>
  <si>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</si>
  <si>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</si>
  <si>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</si>
  <si>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</si>
  <si>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</si>
  <si>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</si>
  <si>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</si>
  <si>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</si>
  <si>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</si>
  <si>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</si>
  <si>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</si>
  <si>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</si>
  <si>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</si>
  <si>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</si>
  <si>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</si>
  <si>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</si>
  <si>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</si>
  <si>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</si>
  <si>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</si>
  <si>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</si>
  <si>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</si>
  <si>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</si>
  <si>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</si>
  <si>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</si>
  <si>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</si>
  <si>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</si>
  <si>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</si>
  <si>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</si>
  <si>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</si>
  <si>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</si>
  <si>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</si>
  <si>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</si>
  <si>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</si>
  <si>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</si>
  <si>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</si>
  <si>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</si>
  <si>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</si>
  <si>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</si>
  <si>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</si>
  <si>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</si>
  <si>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</si>
  <si>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</si>
  <si>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</si>
  <si>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</si>
  <si>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</si>
  <si>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</si>
  <si>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</si>
  <si>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</si>
  <si>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</si>
  <si>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</si>
  <si>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</si>
  <si>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</si>
  <si>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</si>
  <si>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</si>
  <si>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</si>
  <si>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</si>
  <si>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</si>
  <si>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</si>
  <si>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</si>
  <si>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</si>
  <si>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</si>
  <si>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</si>
  <si>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</si>
  <si>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</si>
  <si>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</si>
  <si>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</si>
  <si>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</si>
  <si>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</si>
  <si>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</si>
  <si>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</si>
  <si>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</si>
  <si>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</si>
  <si>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</si>
  <si>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</si>
  <si>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</si>
  <si>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</si>
  <si>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</si>
  <si>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</si>
  <si>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</si>
  <si>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</si>
  <si>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</si>
  <si>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</si>
  <si>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</si>
  <si>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</si>
  <si>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</si>
  <si>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</si>
  <si>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</si>
  <si>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</si>
  <si>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</si>
  <si>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</si>
  <si>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</si>
  <si>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</si>
  <si>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</si>
  <si>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</si>
  <si>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</si>
  <si>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</si>
  <si>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</si>
  <si>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</si>
  <si>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</si>
  <si>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</si>
  <si>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</si>
  <si>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</si>
  <si>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</si>
  <si>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</si>
  <si>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</si>
  <si>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</si>
  <si>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</si>
  <si>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</si>
  <si>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</si>
  <si>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</si>
  <si>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</si>
  <si>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</si>
  <si>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</si>
  <si>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</si>
  <si>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</si>
  <si>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</si>
  <si>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</si>
  <si>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</si>
  <si>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</si>
  <si>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</si>
  <si>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</si>
  <si>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</si>
  <si>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</si>
  <si>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</si>
  <si>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</si>
  <si>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</si>
  <si>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</si>
  <si>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</si>
  <si>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</si>
  <si>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</si>
  <si>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</si>
  <si>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</si>
  <si>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</si>
  <si>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</si>
  <si>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</si>
  <si>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</si>
  <si>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</si>
  <si>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</si>
  <si>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</si>
  <si>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</si>
  <si>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</si>
  <si>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</si>
  <si>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</si>
  <si>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</si>
  <si>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</si>
  <si>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</si>
  <si>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</si>
  <si>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</si>
  <si>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</si>
  <si>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</si>
  <si>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</si>
  <si>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</si>
  <si>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</si>
  <si>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</si>
  <si>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</si>
  <si>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</si>
  <si>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</si>
  <si>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</si>
  <si>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</si>
  <si>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</si>
  <si>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</si>
  <si>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</si>
  <si>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</si>
  <si>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</si>
  <si>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</si>
  <si>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</si>
  <si>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</si>
  <si>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</si>
  <si>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</si>
  <si>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</si>
  <si>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</si>
  <si>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</si>
  <si>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</si>
  <si>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</si>
  <si>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</si>
  <si>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</si>
  <si>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</si>
  <si>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</si>
  <si>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</si>
  <si>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</si>
  <si>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</si>
  <si>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</si>
  <si>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</si>
  <si>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</si>
  <si>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</si>
  <si>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</si>
  <si>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</si>
  <si>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</si>
  <si>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</si>
  <si>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</si>
  <si>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</si>
  <si>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</si>
  <si>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</si>
  <si>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</si>
  <si>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</si>
  <si>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</si>
  <si>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</si>
  <si>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</si>
  <si>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</si>
  <si>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</si>
  <si>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</si>
  <si>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</si>
  <si>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</si>
  <si>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</si>
  <si>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</si>
  <si>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</si>
  <si>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</si>
  <si>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</si>
  <si>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</si>
  <si>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</si>
  <si>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</si>
  <si>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</si>
  <si>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</si>
  <si>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</si>
  <si>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</si>
  <si>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</si>
  <si>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</si>
  <si>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</si>
  <si>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</si>
  <si>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</si>
  <si>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</si>
  <si>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</si>
  <si>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</si>
  <si>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</si>
  <si>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</si>
  <si>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</si>
  <si>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</si>
  <si>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</si>
  <si>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</si>
  <si>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</si>
  <si>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</si>
  <si>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</si>
  <si>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</si>
  <si>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</si>
  <si>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</si>
  <si>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</si>
  <si>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</si>
  <si>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</si>
  <si>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</si>
  <si>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</si>
  <si>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</si>
  <si>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</si>
  <si>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</si>
  <si>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</si>
  <si>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</si>
  <si>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</si>
  <si>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</si>
  <si>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</si>
  <si>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</si>
  <si>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</si>
  <si>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</si>
  <si>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</si>
  <si>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</si>
  <si>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</si>
  <si>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</si>
  <si>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</si>
  <si>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</si>
  <si>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</si>
  <si>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</si>
  <si>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</si>
  <si>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</si>
  <si>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</si>
  <si>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</si>
  <si>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</si>
  <si>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</si>
  <si>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</si>
  <si>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</si>
  <si>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</si>
  <si>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</si>
  <si>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</si>
  <si>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</si>
  <si>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</si>
  <si>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</si>
  <si>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</si>
  <si>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</si>
  <si>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</si>
  <si>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</si>
  <si>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</si>
  <si>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</si>
  <si>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</si>
  <si>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</si>
  <si>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</si>
  <si>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</si>
  <si>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</si>
  <si>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</si>
  <si>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</si>
  <si>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</si>
  <si>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</si>
  <si>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</si>
  <si>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</si>
  <si>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</si>
  <si>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</si>
  <si>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</si>
  <si>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</si>
  <si>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</si>
  <si>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</si>
  <si>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</si>
  <si>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</si>
  <si>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</si>
  <si>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</si>
  <si>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</si>
  <si>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</si>
  <si>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</si>
  <si>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</si>
  <si>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</si>
  <si>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</si>
  <si>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</si>
  <si>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</si>
  <si>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</si>
  <si>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</si>
  <si>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</si>
  <si>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</si>
  <si>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</si>
  <si>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</si>
  <si>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</si>
  <si>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</si>
  <si>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</si>
  <si>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</si>
  <si>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</si>
  <si>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</si>
  <si>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</si>
  <si>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</si>
  <si>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</si>
  <si>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</si>
  <si>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</si>
  <si>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</si>
  <si>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</si>
  <si>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</si>
  <si>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</si>
  <si>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</si>
  <si>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</si>
  <si>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</si>
  <si>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</si>
  <si>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</si>
  <si>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</si>
  <si>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</si>
  <si>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</si>
  <si>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</si>
  <si>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</si>
  <si>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</si>
  <si>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</si>
  <si>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</si>
  <si>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</si>
  <si>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</si>
  <si>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</si>
  <si>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</si>
  <si>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</si>
  <si>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</si>
  <si>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</si>
  <si>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</si>
  <si>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</si>
  <si>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</si>
  <si>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</si>
  <si>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</si>
  <si>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</si>
  <si>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</si>
  <si>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</si>
  <si>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</si>
  <si>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</si>
  <si>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</si>
  <si>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</si>
  <si>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</si>
  <si>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</si>
  <si>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</si>
  <si>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</si>
  <si>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</si>
  <si>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</si>
  <si>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</si>
  <si>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</si>
  <si>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</si>
  <si>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</si>
  <si>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</si>
  <si>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</si>
  <si>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</si>
  <si>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</si>
  <si>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</si>
  <si>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</si>
  <si>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</si>
  <si>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</si>
  <si>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</si>
  <si>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</si>
  <si>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</si>
  <si>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</si>
  <si>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</si>
  <si>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</si>
  <si>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</si>
  <si>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</si>
  <si>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</si>
  <si>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</si>
  <si>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</si>
  <si>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</si>
  <si>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</si>
  <si>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</si>
  <si>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</si>
  <si>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</si>
  <si>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</si>
  <si>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</si>
  <si>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</si>
  <si>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</si>
  <si>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</si>
  <si>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</si>
  <si>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</si>
  <si>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</si>
  <si>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</si>
  <si>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</si>
  <si>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</si>
  <si>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</si>
  <si>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</si>
  <si>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</si>
  <si>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</si>
  <si>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</si>
  <si>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</si>
  <si>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</si>
  <si>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</si>
  <si>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</si>
  <si>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</si>
  <si>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</si>
  <si>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</si>
  <si>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</si>
  <si>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</si>
  <si>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</si>
  <si>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</si>
  <si>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</si>
  <si>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</si>
  <si>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</si>
  <si>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</si>
  <si>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</si>
  <si>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</si>
  <si>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</si>
  <si>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</si>
  <si>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</si>
  <si>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</si>
  <si>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</si>
  <si>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</si>
  <si>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</si>
  <si>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</si>
  <si>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</si>
  <si>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</si>
  <si>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</si>
  <si>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</si>
  <si>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</si>
  <si>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</si>
  <si>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</si>
  <si>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</si>
  <si>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</si>
  <si>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</si>
  <si>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</si>
  <si>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</si>
  <si>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</si>
  <si>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</si>
  <si>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</si>
  <si>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</si>
  <si>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</si>
  <si>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</si>
  <si>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</si>
  <si>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</si>
  <si>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</si>
  <si>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</si>
  <si>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</si>
  <si>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</si>
  <si>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</si>
  <si>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</si>
  <si>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</si>
  <si>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</si>
  <si>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</si>
  <si>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</si>
  <si>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</si>
  <si>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</si>
  <si>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</si>
  <si>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</si>
  <si>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</si>
  <si>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</si>
  <si>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</si>
  <si>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</si>
  <si>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</si>
  <si>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</si>
  <si>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</si>
  <si>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</si>
  <si>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</si>
  <si>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</si>
  <si>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</si>
  <si>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</si>
  <si>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</si>
  <si>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</si>
  <si>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</si>
  <si>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</si>
  <si>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</si>
  <si>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</si>
  <si>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</si>
  <si>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</si>
  <si>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</si>
  <si>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</si>
  <si>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</si>
  <si>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</si>
  <si>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</si>
  <si>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</si>
  <si>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</si>
  <si>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</si>
  <si>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</si>
  <si>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</si>
  <si>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</si>
  <si>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</si>
  <si>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</si>
  <si>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</si>
  <si>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</si>
  <si>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</si>
  <si>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</si>
  <si>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</si>
  <si>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</si>
  <si>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</si>
  <si>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</si>
  <si>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</si>
  <si>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</si>
  <si>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</si>
  <si>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</si>
  <si>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</si>
  <si>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</si>
  <si>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</si>
  <si>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</si>
  <si>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</si>
  <si>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</si>
  <si>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</si>
  <si>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</si>
  <si>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</si>
  <si>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</si>
  <si>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</si>
  <si>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</si>
  <si>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</si>
  <si>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</si>
  <si>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</si>
  <si>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</si>
  <si>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</si>
  <si>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</si>
  <si>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</si>
  <si>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</si>
  <si>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</si>
  <si>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</si>
  <si>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</si>
  <si>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</si>
  <si>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</si>
  <si>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</si>
  <si>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</si>
  <si>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</si>
  <si>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</si>
  <si>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</si>
  <si>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</si>
  <si>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</si>
  <si>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</si>
  <si>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</si>
  <si>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</si>
  <si>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</si>
  <si>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</si>
  <si>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</si>
  <si>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</si>
  <si>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</si>
  <si>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</si>
  <si>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</si>
  <si>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</si>
  <si>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</si>
  <si>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</si>
  <si>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</si>
  <si>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</si>
  <si>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</si>
  <si>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</si>
  <si>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</si>
  <si>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</si>
  <si>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</si>
  <si>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</si>
  <si>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</si>
  <si>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</si>
  <si>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</si>
  <si>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</si>
  <si>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</si>
  <si>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</si>
  <si>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</si>
  <si>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</si>
  <si>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</si>
  <si>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</si>
  <si>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</si>
  <si>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</si>
  <si>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</si>
  <si>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</si>
  <si>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</si>
  <si>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</si>
  <si>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</si>
  <si>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</si>
  <si>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</si>
  <si>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</si>
  <si>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</si>
  <si>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</si>
  <si>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</si>
  <si>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</si>
  <si>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</si>
  <si>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</si>
  <si>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</si>
  <si>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</si>
  <si>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</si>
  <si>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</si>
  <si>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</si>
  <si>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</si>
  <si>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</si>
  <si>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</si>
  <si>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</si>
  <si>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</si>
  <si>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</si>
  <si>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</si>
  <si>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</si>
  <si>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</si>
  <si>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</si>
  <si>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</si>
  <si>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</si>
  <si>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</si>
  <si>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</si>
  <si>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</si>
  <si>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</si>
  <si>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</si>
  <si>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</si>
  <si>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</si>
  <si>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</si>
  <si>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</si>
  <si>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</si>
  <si>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</si>
  <si>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</si>
  <si>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</si>
  <si>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</si>
  <si>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</si>
  <si>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</si>
  <si>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</si>
  <si>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</si>
  <si>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</si>
  <si>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</si>
  <si>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</si>
  <si>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</si>
  <si>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</si>
  <si>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</si>
  <si>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</si>
  <si>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</si>
  <si>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</si>
  <si>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</si>
  <si>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</si>
  <si>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</si>
  <si>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</si>
  <si>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</si>
  <si>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</si>
  <si>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</si>
  <si>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</si>
  <si>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</si>
  <si>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</si>
  <si>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</si>
  <si>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</si>
  <si>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</si>
  <si>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</si>
  <si>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</si>
  <si>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</si>
  <si>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</si>
  <si>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</si>
  <si>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</si>
  <si>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</si>
  <si>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</si>
  <si>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</si>
  <si>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</si>
  <si>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</si>
  <si>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</si>
  <si>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</si>
  <si>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</si>
  <si>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</si>
  <si>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</si>
  <si>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</si>
  <si>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</si>
  <si>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</si>
  <si>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</si>
  <si>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</si>
  <si>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</si>
  <si>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</si>
  <si>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</si>
  <si>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</si>
  <si>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</si>
  <si>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</si>
  <si>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</si>
  <si>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</si>
  <si>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</si>
  <si>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</si>
  <si>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</si>
  <si>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</si>
  <si>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</si>
  <si>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</si>
  <si>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</si>
  <si>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</si>
  <si>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</si>
  <si>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</si>
  <si>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</si>
  <si>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</si>
  <si>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</si>
  <si>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</si>
  <si>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</si>
  <si>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</si>
  <si>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</si>
  <si>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</si>
  <si>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</si>
  <si>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</si>
  <si>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</si>
  <si>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</si>
  <si>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</si>
  <si>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</si>
  <si>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</si>
  <si>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</si>
  <si>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</si>
  <si>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</si>
  <si>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</si>
  <si>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</si>
  <si>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</si>
  <si>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</si>
  <si>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</si>
  <si>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</si>
  <si>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</si>
  <si>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</si>
  <si>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</si>
  <si>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</si>
  <si>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</si>
  <si>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</si>
  <si>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</si>
  <si>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</si>
  <si>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</si>
  <si>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</si>
  <si>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</si>
  <si>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</si>
  <si>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</si>
  <si>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</si>
  <si>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</si>
  <si>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</si>
  <si>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</si>
  <si>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</si>
  <si>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</si>
  <si>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</si>
  <si>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</si>
  <si>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</si>
  <si>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</si>
  <si>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</si>
  <si>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</si>
  <si>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</si>
  <si>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</si>
  <si>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</si>
  <si>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</si>
  <si>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</si>
  <si>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</si>
  <si>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</si>
  <si>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</si>
  <si>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</si>
  <si>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</si>
  <si>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</si>
  <si>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</si>
  <si>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</si>
  <si>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</si>
  <si>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</si>
  <si>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</si>
  <si>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</si>
  <si>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</si>
  <si>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</si>
  <si>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</si>
  <si>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</si>
  <si>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</si>
  <si>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</si>
  <si>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</si>
  <si>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</si>
  <si>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</si>
  <si>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</si>
  <si>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</si>
  <si>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</si>
  <si>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</si>
  <si>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</si>
  <si>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</si>
  <si>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</si>
  <si>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</si>
  <si>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</si>
  <si>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</si>
  <si>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</si>
  <si>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</si>
  <si>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</si>
  <si>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</si>
  <si>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</si>
  <si>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</si>
  <si>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</si>
  <si>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</si>
  <si>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</si>
  <si>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</si>
  <si>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</si>
  <si>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</si>
  <si>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</si>
  <si>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</si>
  <si>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</si>
  <si>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</si>
  <si>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</si>
  <si>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</si>
  <si>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</si>
  <si>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</si>
  <si>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</si>
  <si>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</si>
  <si>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</si>
  <si>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</si>
  <si>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</si>
  <si>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</si>
  <si>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</si>
  <si>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</si>
  <si>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</si>
  <si>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</si>
  <si>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</si>
  <si>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</si>
  <si>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</si>
  <si>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</si>
  <si>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</si>
  <si>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</si>
  <si>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</si>
  <si>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</si>
  <si>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</si>
  <si>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</si>
  <si>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</si>
  <si>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</si>
  <si>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</si>
  <si>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</si>
  <si>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</si>
  <si>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</si>
  <si>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</si>
  <si>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</si>
  <si>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</si>
  <si>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</si>
  <si>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</si>
  <si>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</si>
  <si>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</si>
  <si>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</si>
  <si>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</si>
  <si>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</si>
  <si>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</si>
  <si>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</si>
  <si>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</si>
  <si>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</si>
  <si>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</si>
  <si>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</si>
  <si>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</si>
  <si>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</si>
  <si>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</si>
  <si>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</si>
  <si>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</si>
  <si>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</si>
  <si>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</si>
  <si>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</si>
  <si>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</si>
  <si>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</si>
  <si>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</si>
  <si>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</si>
  <si>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</si>
  <si>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</si>
  <si>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</si>
  <si>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</si>
  <si>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</si>
  <si>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</si>
  <si>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</si>
  <si>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</si>
  <si>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</si>
  <si>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</si>
  <si>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</si>
  <si>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</si>
  <si>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</si>
  <si>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</si>
  <si>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</si>
  <si>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</si>
  <si>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</si>
  <si>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</si>
  <si>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</si>
  <si>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</si>
  <si>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</si>
  <si>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</si>
  <si>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</si>
  <si>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</si>
  <si>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</si>
  <si>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</si>
  <si>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</si>
  <si>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</si>
  <si>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</si>
  <si>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</si>
  <si>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</si>
  <si>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</si>
  <si>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</si>
  <si>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</si>
  <si>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</si>
  <si>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</si>
  <si>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</si>
  <si>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</si>
  <si>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</si>
  <si>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</si>
  <si>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</si>
  <si>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</si>
  <si>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</si>
  <si>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</si>
  <si>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</si>
  <si>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</si>
  <si>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</si>
  <si>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</si>
  <si>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</si>
  <si>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</si>
  <si>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</si>
  <si>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</si>
  <si>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</si>
  <si>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</si>
  <si>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</si>
  <si>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</si>
  <si>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</si>
  <si>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</si>
  <si>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</si>
  <si>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</si>
  <si>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</si>
  <si>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</si>
  <si>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</si>
  <si>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</si>
  <si>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</si>
  <si>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</si>
  <si>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</si>
  <si>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</si>
  <si>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</si>
  <si>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</si>
  <si>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</si>
  <si>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</si>
  <si>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</si>
  <si>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</si>
  <si>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</si>
  <si>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</si>
  <si>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</si>
  <si>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</si>
  <si>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</si>
  <si>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</si>
  <si>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</si>
  <si>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</si>
  <si>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</si>
  <si>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</si>
  <si>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</si>
  <si>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</si>
  <si>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</si>
  <si>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</si>
  <si>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</si>
  <si>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</si>
  <si>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</si>
  <si>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</si>
  <si>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</si>
  <si>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</si>
  <si>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</si>
  <si>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</si>
  <si>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</si>
  <si>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</si>
  <si>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</si>
  <si>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</si>
  <si>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</si>
  <si>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</si>
  <si>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</si>
  <si>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</si>
  <si>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</si>
  <si>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</si>
  <si>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</si>
  <si>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</si>
  <si>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</si>
  <si>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</si>
  <si>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</si>
  <si>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</si>
  <si>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</si>
  <si>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</si>
  <si>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</si>
  <si>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</si>
  <si>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</si>
  <si>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</si>
  <si>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</si>
  <si>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</si>
  <si>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</si>
  <si>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</si>
  <si>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</si>
  <si>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</si>
  <si>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</si>
  <si>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</si>
  <si>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</si>
  <si>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</si>
  <si>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</si>
  <si>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</si>
  <si>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</si>
  <si>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</si>
  <si>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</si>
  <si>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</si>
  <si>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</si>
  <si>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</si>
  <si>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</si>
  <si>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</si>
  <si>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</si>
  <si>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</si>
  <si>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</si>
  <si>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</si>
  <si>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</si>
  <si>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</si>
  <si>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</si>
  <si>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</si>
  <si>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</si>
  <si>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</si>
  <si>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</si>
  <si>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</si>
  <si>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</si>
  <si>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</si>
  <si>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</si>
  <si>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</si>
  <si>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</si>
  <si>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</si>
  <si>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</si>
  <si>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</si>
  <si>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</si>
  <si>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</si>
  <si>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</si>
  <si>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</si>
  <si>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</si>
  <si>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</si>
  <si>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</si>
  <si>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</si>
  <si>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</si>
  <si>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</si>
  <si>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</si>
  <si>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</si>
  <si>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</si>
  <si>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</si>
  <si>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</si>
  <si>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</si>
  <si>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</si>
  <si>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</si>
  <si>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</si>
  <si>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</si>
  <si>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</si>
  <si>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</si>
  <si>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</si>
  <si>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</si>
  <si>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</si>
  <si>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</si>
  <si>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</si>
  <si>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</si>
  <si>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</si>
  <si>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</si>
  <si>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</si>
  <si>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</si>
  <si>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</si>
  <si>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</si>
  <si>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</si>
  <si>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</si>
  <si>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</si>
  <si>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</si>
  <si>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</si>
  <si>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</si>
  <si>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</si>
  <si>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</si>
  <si>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</si>
  <si>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</si>
  <si>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</si>
  <si>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</si>
  <si>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</si>
  <si>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</si>
  <si>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</si>
  <si>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</si>
  <si>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</si>
  <si>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</si>
  <si>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</si>
  <si>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</si>
  <si>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</si>
  <si>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</si>
  <si>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</si>
  <si>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</si>
  <si>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</si>
  <si>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</si>
  <si>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</si>
  <si>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</si>
  <si>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</si>
  <si>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</si>
  <si>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</si>
  <si>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</si>
  <si>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</si>
  <si>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</si>
  <si>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</si>
  <si>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</si>
  <si>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</si>
  <si>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</si>
  <si>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</si>
  <si>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</si>
  <si>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</si>
  <si>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</si>
  <si>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</si>
  <si>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</si>
  <si>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</si>
  <si>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</si>
  <si>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</si>
  <si>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</si>
  <si>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</si>
  <si>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</si>
  <si>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</si>
  <si>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</si>
  <si>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</si>
  <si>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</si>
  <si>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</si>
  <si>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</si>
  <si>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</si>
  <si>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</si>
  <si>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</si>
  <si>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</si>
  <si>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</si>
  <si>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</si>
  <si>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</si>
  <si>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</si>
  <si>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</si>
  <si>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</si>
  <si>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</si>
  <si>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</si>
  <si>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</si>
  <si>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</si>
  <si>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</si>
  <si>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</si>
  <si>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</si>
  <si>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</si>
  <si>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</si>
  <si>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</si>
  <si>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</si>
  <si>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</si>
  <si>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</si>
  <si>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</si>
  <si>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</si>
  <si>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</si>
  <si>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</si>
  <si>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</si>
  <si>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</si>
  <si>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</si>
  <si>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</si>
  <si>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</si>
  <si>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</si>
  <si>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</si>
  <si>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</si>
  <si>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</si>
  <si>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</si>
  <si>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</si>
  <si>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</si>
  <si>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</si>
  <si>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</si>
  <si>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</si>
  <si>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</si>
  <si>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</si>
  <si>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</si>
  <si>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</si>
  <si>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</si>
  <si>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</si>
  <si>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</si>
  <si>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</si>
  <si>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</si>
  <si>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</si>
  <si>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</si>
  <si>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</si>
  <si>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</si>
  <si>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</si>
  <si>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</si>
  <si>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</si>
  <si>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</si>
  <si>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</si>
  <si>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</si>
  <si>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</si>
  <si>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</si>
  <si>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</si>
  <si>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</si>
  <si>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</si>
  <si>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</si>
  <si>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</si>
  <si>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</si>
  <si>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</si>
  <si>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</si>
  <si>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</si>
  <si>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</si>
  <si>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</si>
  <si>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</si>
  <si>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</si>
  <si>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</si>
  <si>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</si>
  <si>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</si>
  <si>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</si>
  <si>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</si>
  <si>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</si>
  <si>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</si>
  <si>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</si>
  <si>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</si>
  <si>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</si>
  <si>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</si>
  <si>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</si>
  <si>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</si>
  <si>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</si>
  <si>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</si>
  <si>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</si>
  <si>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</si>
  <si>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</si>
  <si>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</si>
  <si>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</si>
  <si>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</si>
  <si>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</si>
  <si>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</si>
  <si>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</si>
  <si>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</si>
  <si>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</si>
  <si>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</si>
  <si>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</si>
  <si>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</si>
  <si>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</si>
  <si>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</si>
  <si>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</si>
  <si>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</si>
  <si>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</si>
  <si>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</si>
  <si>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</si>
  <si>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</si>
  <si>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</si>
  <si>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</si>
  <si>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</si>
  <si>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</si>
  <si>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</si>
  <si>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</si>
  <si>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</si>
  <si>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</si>
  <si>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</si>
  <si>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</si>
  <si>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</si>
  <si>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</si>
  <si>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</si>
  <si>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</si>
  <si>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</si>
  <si>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</si>
  <si>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</si>
  <si>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</si>
  <si>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</si>
  <si>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</si>
  <si>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</si>
  <si>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</si>
  <si>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</si>
  <si>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</si>
  <si>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</si>
  <si>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</si>
  <si>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</si>
  <si>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</si>
  <si>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</si>
  <si>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</si>
  <si>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</si>
  <si>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</si>
  <si>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</si>
  <si>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</si>
  <si>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</si>
  <si>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</si>
  <si>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</si>
  <si>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</si>
  <si>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</si>
  <si>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</si>
  <si>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</si>
  <si>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</si>
  <si>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</si>
  <si>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</si>
  <si>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</si>
  <si>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</si>
  <si>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</si>
  <si>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</si>
  <si>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</si>
  <si>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</si>
  <si>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</si>
  <si>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</si>
  <si>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</si>
  <si>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</si>
  <si>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</si>
  <si>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</si>
  <si>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</si>
  <si>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</si>
  <si>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</si>
  <si>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</si>
  <si>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</si>
  <si>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</si>
  <si>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</si>
  <si>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</si>
  <si>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</si>
  <si>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</si>
  <si>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</si>
  <si>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</si>
  <si>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</si>
  <si>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</si>
  <si>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</si>
  <si>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</si>
  <si>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</si>
  <si>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</si>
  <si>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</si>
  <si>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</si>
  <si>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</si>
  <si>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</si>
  <si>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</si>
  <si>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</si>
  <si>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</si>
  <si>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</si>
  <si>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</si>
  <si>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</si>
  <si>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</si>
  <si>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</si>
  <si>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</si>
  <si>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</si>
  <si>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</si>
  <si>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</si>
  <si>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</si>
  <si>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</si>
  <si>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</si>
  <si>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</si>
  <si>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</si>
  <si>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</si>
  <si>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</si>
  <si>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</si>
  <si>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</si>
  <si>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</si>
  <si>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</si>
  <si>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</si>
  <si>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</si>
  <si>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</si>
  <si>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</si>
  <si>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</si>
  <si>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</si>
  <si>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</si>
  <si>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</si>
  <si>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</si>
  <si>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</si>
  <si>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</si>
  <si>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</si>
  <si>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</si>
  <si>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</si>
  <si>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</si>
  <si>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</si>
  <si>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</si>
  <si>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</si>
  <si>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</si>
  <si>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</si>
  <si>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</si>
  <si>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</si>
  <si>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</si>
  <si>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</si>
  <si>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</si>
  <si>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</si>
  <si>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</si>
  <si>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</si>
  <si>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</si>
  <si>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</si>
  <si>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</si>
  <si>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</si>
  <si>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</si>
  <si>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</si>
  <si>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</si>
  <si>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</si>
  <si>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</si>
  <si>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</si>
  <si>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</si>
  <si>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</si>
  <si>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</si>
  <si>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</si>
  <si>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</si>
  <si>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</si>
  <si>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</si>
  <si>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</si>
  <si>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</si>
  <si>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</si>
  <si>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</si>
  <si>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</si>
  <si>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</si>
  <si>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</si>
  <si>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</si>
  <si>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</si>
  <si>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</si>
  <si>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</si>
  <si>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</si>
  <si>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</si>
  <si>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</si>
  <si>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</si>
  <si>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</si>
  <si>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</si>
  <si>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</si>
  <si>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</si>
  <si>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</si>
  <si>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</si>
  <si>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</si>
  <si>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</si>
  <si>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</si>
  <si>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</si>
  <si>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</si>
  <si>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</si>
  <si>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</si>
  <si>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</si>
  <si>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</si>
  <si>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</si>
  <si>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</si>
  <si>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</si>
  <si>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</si>
  <si>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</si>
  <si>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</si>
  <si>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</si>
  <si>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</si>
  <si>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</si>
  <si>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</si>
  <si>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</si>
  <si>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</si>
  <si>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</si>
  <si>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</si>
  <si>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</si>
  <si>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</si>
  <si>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</si>
  <si>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</si>
  <si>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</si>
  <si>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</si>
  <si>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</si>
  <si>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</si>
  <si>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</si>
  <si>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</si>
  <si>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</si>
  <si>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</si>
  <si>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</si>
  <si>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</si>
  <si>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</si>
  <si>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</si>
  <si>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</si>
  <si>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</si>
  <si>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</si>
  <si>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</si>
  <si>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</si>
  <si>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</si>
  <si>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</si>
  <si>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</si>
  <si>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</si>
  <si>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</si>
  <si>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</si>
  <si>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</si>
  <si>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</si>
  <si>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</si>
  <si>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</si>
  <si>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</si>
  <si>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</si>
  <si>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</si>
  <si>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</si>
  <si>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</si>
  <si>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</si>
  <si>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</si>
  <si>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</si>
  <si>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</si>
  <si>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</si>
  <si>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</si>
  <si>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</si>
  <si>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</si>
  <si>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</si>
  <si>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</si>
  <si>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</si>
  <si>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</si>
  <si>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</si>
  <si>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</si>
  <si>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</si>
  <si>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</si>
  <si>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</si>
  <si>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</si>
  <si>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</si>
  <si>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</si>
  <si>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</si>
  <si>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</si>
  <si>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</si>
  <si>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</si>
  <si>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</si>
  <si>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</si>
  <si>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</si>
  <si>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</si>
  <si>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</si>
  <si>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</si>
  <si>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</si>
  <si>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</si>
  <si>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</si>
  <si>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</si>
  <si>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</si>
  <si>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</si>
  <si>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</si>
  <si>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</si>
  <si>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</si>
  <si>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</si>
  <si>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</si>
  <si>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</si>
  <si>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</si>
  <si>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</si>
  <si>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</si>
  <si>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</si>
  <si>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</si>
  <si>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</si>
  <si>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</si>
  <si>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</si>
  <si>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</si>
  <si>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</si>
  <si>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</si>
  <si>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</si>
  <si>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</si>
  <si>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</si>
  <si>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</si>
  <si>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</si>
  <si>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</si>
  <si>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</si>
  <si>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</si>
  <si>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</si>
  <si>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</si>
  <si>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</si>
  <si>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</si>
  <si>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</si>
  <si>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</si>
  <si>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</si>
  <si>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</si>
  <si>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</si>
  <si>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</si>
  <si>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</si>
  <si>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</si>
  <si>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</si>
  <si>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</si>
  <si>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</si>
  <si>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</si>
  <si>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</si>
  <si>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</si>
  <si>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</si>
  <si>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</si>
  <si>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</si>
  <si>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</si>
  <si>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</si>
  <si>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</si>
  <si>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</si>
  <si>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</si>
  <si>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</si>
  <si>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</si>
  <si>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</si>
  <si>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</si>
  <si>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</si>
  <si>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</si>
  <si>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</si>
  <si>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</si>
  <si>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</si>
  <si>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</si>
  <si>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</si>
  <si>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</si>
  <si>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</si>
  <si>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</si>
  <si>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</si>
  <si>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</si>
  <si>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</si>
  <si>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</si>
  <si>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</si>
  <si>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</si>
  <si>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</si>
  <si>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</si>
  <si>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</si>
  <si>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</si>
  <si>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</si>
  <si>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</si>
  <si>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</si>
  <si>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</si>
  <si>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</si>
  <si>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</si>
  <si>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</si>
  <si>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</si>
  <si>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</si>
  <si>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</si>
  <si>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</si>
  <si>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</si>
  <si>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</si>
  <si>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</si>
  <si>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</si>
  <si>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</si>
  <si>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</si>
  <si>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</si>
  <si>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</si>
  <si>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</si>
  <si>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</si>
  <si>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</si>
  <si>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</si>
  <si>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</si>
  <si>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</si>
  <si>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</si>
  <si>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</si>
  <si>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</si>
  <si>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</si>
  <si>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</si>
  <si>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</si>
  <si>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</si>
  <si>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</si>
  <si>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</si>
  <si>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</si>
  <si>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</si>
  <si>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</si>
  <si>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</si>
  <si>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</si>
  <si>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</si>
  <si>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</si>
  <si>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</si>
  <si>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</si>
  <si>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</si>
  <si>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</si>
  <si>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</si>
  <si>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</si>
  <si>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</si>
  <si>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</si>
  <si>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</si>
  <si>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</si>
  <si>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</si>
  <si>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</si>
  <si>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</si>
  <si>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</si>
  <si>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</si>
  <si>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</si>
  <si>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</si>
  <si>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</si>
  <si>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</si>
  <si>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</si>
  <si>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</si>
  <si>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</si>
  <si>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</si>
  <si>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</si>
  <si>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</si>
  <si>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</si>
  <si>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</si>
  <si>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</si>
  <si>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</si>
  <si>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</si>
  <si>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</si>
  <si>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</si>
  <si>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</si>
  <si>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</si>
  <si>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</si>
  <si>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</si>
  <si>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</si>
  <si>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</si>
  <si>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</si>
  <si>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</si>
  <si>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</si>
  <si>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</si>
  <si>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</si>
  <si>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</si>
  <si>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</si>
  <si>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</si>
  <si>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</si>
  <si>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</si>
  <si>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</si>
  <si>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</si>
  <si>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</si>
  <si>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</si>
  <si>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</si>
  <si>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</si>
  <si>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</si>
  <si>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</si>
  <si>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</si>
  <si>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</si>
  <si>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</si>
  <si>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</si>
  <si>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</si>
  <si>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</si>
  <si>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</si>
  <si>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</si>
  <si>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</si>
  <si>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</si>
  <si>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</si>
  <si>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</si>
  <si>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</si>
  <si>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</si>
  <si>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</si>
  <si>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</si>
  <si>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</si>
  <si>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</si>
  <si>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</si>
  <si>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</si>
  <si>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</si>
  <si>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</si>
  <si>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</si>
  <si>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</si>
  <si>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</si>
  <si>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</si>
  <si>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</si>
  <si>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</si>
  <si>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</si>
  <si>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</si>
  <si>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</si>
  <si>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</si>
  <si>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</si>
  <si>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</si>
  <si>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</si>
  <si>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</si>
  <si>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</si>
  <si>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</si>
  <si>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</si>
  <si>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</si>
  <si>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</si>
  <si>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</si>
  <si>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</si>
  <si>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</si>
  <si>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</si>
  <si>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</si>
  <si>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</si>
  <si>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</si>
  <si>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</si>
  <si>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</si>
  <si>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</si>
  <si>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</si>
  <si>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</si>
  <si>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</si>
  <si>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</si>
  <si>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</si>
  <si>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</si>
  <si>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</si>
  <si>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</si>
  <si>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</si>
  <si>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</si>
  <si>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</si>
  <si>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</si>
  <si>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</si>
  <si>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</si>
  <si>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</si>
  <si>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</si>
  <si>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</si>
  <si>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</si>
  <si>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</si>
  <si>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</si>
  <si>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</si>
  <si>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</si>
  <si>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</si>
  <si>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</si>
  <si>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</si>
  <si>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</si>
  <si>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</si>
  <si>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</si>
  <si>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</si>
  <si>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</si>
  <si>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</si>
  <si>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</si>
  <si>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</si>
  <si>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</si>
  <si>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</si>
  <si>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</si>
  <si>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</si>
  <si>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</si>
  <si>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</si>
  <si>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</si>
  <si>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</si>
  <si>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</si>
  <si>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</si>
  <si>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</si>
  <si>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</si>
  <si>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</si>
  <si>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</si>
  <si>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</si>
  <si>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</si>
  <si>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</si>
  <si>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</si>
  <si>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</si>
  <si>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</si>
  <si>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</si>
  <si>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</si>
  <si>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</si>
  <si>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</si>
  <si>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</si>
  <si>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</si>
  <si>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</si>
  <si>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</si>
  <si>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</si>
  <si>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</si>
  <si>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</si>
  <si>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</si>
  <si>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</si>
  <si>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</si>
  <si>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</si>
  <si>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</si>
  <si>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</si>
  <si>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</si>
  <si>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</si>
  <si>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</si>
  <si>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</si>
  <si>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</si>
  <si>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</si>
  <si>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</si>
  <si>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</si>
  <si>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</si>
  <si>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</si>
  <si>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</si>
  <si>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</si>
  <si>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</si>
  <si>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</si>
  <si>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</si>
  <si>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</si>
  <si>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</si>
  <si>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</si>
  <si>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</si>
  <si>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</si>
  <si>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</si>
  <si>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</si>
  <si>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</si>
  <si>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</si>
  <si>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</si>
  <si>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</si>
  <si>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</si>
  <si>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</si>
  <si>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</si>
  <si>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</si>
  <si>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</si>
  <si>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</si>
  <si>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</si>
  <si>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</si>
  <si>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</si>
  <si>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</si>
  <si>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</si>
  <si>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</si>
  <si>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</si>
  <si>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</si>
  <si>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</si>
  <si>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</si>
  <si>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</si>
  <si>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</si>
  <si>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</si>
  <si>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</si>
  <si>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</si>
  <si>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</si>
  <si>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</si>
  <si>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</si>
  <si>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</si>
  <si>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</si>
  <si>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</si>
  <si>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</si>
  <si>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</si>
  <si>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</si>
  <si>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</si>
  <si>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</si>
  <si>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</si>
  <si>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</si>
  <si>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</si>
  <si>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</si>
  <si>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</si>
  <si>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</si>
  <si>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</si>
  <si>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</si>
  <si>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</si>
  <si>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</si>
  <si>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</si>
  <si>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</si>
  <si>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</si>
  <si>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</si>
  <si>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</si>
  <si>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</si>
  <si>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</si>
  <si>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</si>
  <si>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</si>
  <si>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</si>
  <si>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</si>
  <si>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</si>
  <si>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</si>
  <si>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</si>
  <si>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</si>
  <si>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</si>
  <si>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</si>
  <si>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</si>
  <si>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</si>
  <si>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</si>
  <si>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</si>
  <si>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</si>
  <si>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</si>
  <si>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</si>
  <si>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</si>
  <si>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</si>
  <si>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</si>
  <si>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</si>
  <si>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</si>
  <si>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</si>
  <si>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</si>
  <si>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</si>
  <si>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</si>
  <si>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</si>
  <si>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</si>
  <si>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</si>
  <si>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</si>
  <si>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</si>
  <si>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</si>
  <si>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</si>
  <si>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</si>
  <si>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</si>
  <si>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</si>
  <si>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</si>
  <si>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</si>
  <si>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</si>
  <si>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</si>
  <si>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</si>
  <si>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</si>
  <si>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</si>
  <si>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</si>
  <si>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</si>
  <si>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</si>
  <si>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</si>
  <si>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</si>
  <si>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</si>
  <si>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</si>
  <si>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</si>
  <si>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</si>
  <si>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</si>
  <si>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</si>
  <si>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</si>
  <si>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</si>
  <si>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</si>
  <si>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</si>
  <si>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</si>
  <si>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</si>
  <si>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</si>
  <si>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</si>
  <si>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</si>
  <si>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</si>
  <si>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</si>
  <si>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</si>
  <si>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</si>
  <si>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</si>
  <si>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</si>
  <si>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</si>
  <si>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</si>
  <si>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</si>
  <si>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</si>
  <si>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</si>
  <si>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</si>
  <si>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</si>
  <si>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</si>
  <si>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</si>
  <si>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</si>
  <si>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</si>
  <si>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</si>
  <si>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</si>
  <si>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</si>
  <si>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</si>
  <si>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</si>
  <si>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</si>
  <si>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</si>
  <si>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</si>
  <si>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</si>
  <si>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</si>
  <si>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</si>
  <si>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</si>
  <si>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</si>
  <si>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</si>
  <si>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</si>
  <si>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</si>
  <si>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</si>
  <si>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</si>
  <si>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</si>
  <si>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</si>
  <si>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</si>
  <si>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</si>
  <si>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</si>
  <si>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</si>
  <si>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</si>
  <si>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</si>
  <si>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</si>
  <si>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</si>
  <si>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</si>
  <si>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</si>
  <si>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</si>
  <si>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</si>
  <si>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</si>
  <si>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</si>
  <si>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</si>
  <si>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</si>
  <si>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</si>
  <si>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</si>
  <si>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</si>
  <si>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</si>
  <si>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</si>
  <si>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</si>
  <si>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</si>
  <si>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</si>
  <si>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</si>
  <si>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</si>
  <si>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</si>
  <si>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</si>
  <si>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</si>
  <si>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</si>
  <si>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</si>
  <si>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</si>
  <si>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</si>
  <si>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</si>
  <si>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</si>
  <si>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</si>
  <si>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</si>
  <si>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</si>
  <si>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</si>
  <si>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</si>
  <si>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</si>
  <si>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</si>
  <si>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</si>
  <si>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</si>
  <si>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</si>
  <si>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</si>
  <si>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</si>
  <si>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</si>
  <si>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</si>
  <si>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</si>
  <si>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</si>
  <si>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</si>
  <si>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</si>
  <si>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</si>
  <si>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</si>
  <si>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</si>
  <si>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</si>
  <si>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</si>
  <si>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</si>
  <si>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</si>
  <si>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</si>
  <si>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</si>
  <si>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</si>
  <si>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</si>
  <si>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</si>
  <si>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</si>
  <si>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</si>
  <si>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</si>
  <si>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</si>
  <si>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</si>
  <si>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</si>
  <si>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</si>
  <si>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</si>
  <si>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</si>
  <si>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</si>
  <si>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</si>
  <si>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</si>
  <si>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</si>
  <si>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</si>
  <si>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</si>
  <si>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</si>
  <si>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</si>
  <si>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</si>
  <si>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</si>
  <si>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</si>
  <si>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</si>
  <si>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</si>
  <si>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</si>
  <si>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</si>
  <si>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</si>
  <si>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</si>
  <si>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</si>
  <si>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</si>
  <si>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</si>
  <si>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</si>
  <si>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</si>
  <si>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</si>
  <si>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</si>
  <si>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</si>
  <si>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</si>
  <si>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</si>
  <si>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</si>
  <si>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</si>
  <si>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</si>
  <si>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</si>
  <si>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</si>
  <si>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</si>
  <si>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</si>
  <si>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</si>
  <si>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</si>
  <si>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</si>
  <si>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</si>
  <si>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</si>
  <si>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</si>
  <si>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</si>
  <si>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</si>
  <si>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</si>
  <si>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</si>
  <si>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</si>
  <si>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</si>
  <si>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</si>
  <si>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</si>
  <si>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</si>
  <si>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</si>
  <si>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</si>
  <si>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</si>
  <si>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</si>
  <si>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</si>
  <si>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</si>
  <si>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</si>
  <si>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</si>
  <si>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</si>
  <si>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</si>
  <si>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</si>
  <si>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</si>
  <si>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</si>
  <si>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</si>
  <si>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</si>
  <si>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</si>
  <si>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</si>
  <si>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</si>
  <si>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</si>
  <si>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</si>
  <si>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</si>
  <si>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</si>
  <si>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</si>
  <si>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</si>
  <si>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</si>
  <si>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</si>
  <si>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</si>
  <si>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</si>
  <si>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</si>
  <si>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</si>
  <si>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</si>
  <si>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</si>
  <si>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</si>
  <si>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</si>
  <si>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</si>
  <si>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</si>
  <si>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</si>
  <si>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</si>
  <si>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</si>
  <si>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</si>
  <si>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</si>
  <si>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</si>
  <si>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</si>
  <si>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</si>
  <si>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</si>
  <si>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</si>
  <si>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</si>
  <si>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</si>
  <si>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</si>
  <si>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</si>
  <si>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</si>
  <si>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</si>
  <si>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</si>
  <si>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</si>
  <si>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</si>
  <si>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</si>
  <si>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</si>
  <si>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</si>
  <si>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</si>
  <si>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</si>
  <si>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</si>
  <si>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</si>
  <si>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</si>
  <si>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</si>
  <si>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</si>
  <si>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</si>
  <si>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</si>
  <si>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</si>
  <si>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</si>
  <si>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</si>
  <si>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</si>
  <si>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</si>
  <si>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</si>
  <si>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</si>
  <si>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</si>
  <si>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</si>
  <si>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</si>
  <si>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</si>
  <si>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</si>
  <si>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</si>
  <si>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</si>
  <si>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</si>
  <si>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</si>
  <si>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</si>
  <si>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</si>
  <si>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</si>
  <si>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</si>
  <si>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</si>
  <si>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</si>
  <si>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</si>
  <si>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</si>
  <si>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</si>
  <si>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</si>
  <si>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</si>
  <si>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</si>
  <si>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</si>
  <si>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</si>
  <si>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</si>
  <si>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</si>
  <si>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</si>
  <si>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</si>
  <si>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</si>
  <si>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</si>
  <si>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</si>
  <si>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</si>
  <si>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</si>
  <si>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</si>
  <si>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</si>
  <si>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</si>
  <si>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</si>
  <si>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</si>
  <si>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</si>
  <si>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</si>
  <si>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</si>
  <si>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</si>
  <si>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</si>
  <si>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</si>
  <si>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</si>
  <si>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</si>
  <si>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</si>
  <si>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</si>
  <si>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</si>
  <si>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</si>
  <si>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</si>
  <si>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</si>
  <si>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</si>
  <si>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</si>
  <si>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</si>
  <si>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</si>
  <si>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</si>
  <si>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</si>
  <si>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</si>
  <si>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</si>
  <si>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</si>
  <si>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</si>
  <si>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</si>
  <si>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</si>
  <si>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</si>
  <si>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</si>
  <si>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</si>
  <si>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</si>
  <si>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</si>
  <si>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</si>
  <si>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</si>
  <si>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</si>
  <si>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</si>
  <si>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</si>
  <si>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</si>
  <si>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</si>
  <si>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</si>
  <si>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</si>
  <si>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</si>
  <si>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</si>
  <si>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</si>
  <si>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</si>
  <si>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</si>
  <si>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</si>
  <si>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</si>
  <si>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</si>
  <si>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</si>
  <si>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</si>
  <si>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</si>
  <si>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</si>
  <si>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</si>
  <si>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</si>
  <si>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</si>
  <si>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</si>
  <si>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</si>
  <si>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</si>
  <si>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</si>
  <si>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</si>
  <si>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</si>
  <si>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</si>
  <si>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</si>
  <si>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</si>
  <si>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</si>
  <si>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</si>
  <si>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</si>
  <si>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</si>
  <si>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</si>
  <si>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</si>
  <si>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</si>
  <si>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</si>
  <si>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</si>
  <si>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</si>
  <si>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</si>
  <si>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</si>
  <si>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</si>
  <si>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</si>
  <si>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</si>
  <si>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</si>
  <si>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</si>
  <si>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</si>
  <si>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</si>
  <si>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</si>
  <si>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</si>
  <si>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</si>
  <si>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</si>
  <si>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</si>
  <si>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</si>
  <si>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</si>
  <si>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</si>
  <si>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</si>
  <si>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</si>
  <si>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</si>
  <si>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</si>
  <si>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</si>
  <si>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</si>
  <si>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</si>
  <si>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</si>
  <si>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</si>
  <si>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</si>
  <si>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</si>
  <si>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</si>
  <si>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</si>
  <si>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</si>
  <si>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</si>
  <si>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</si>
  <si>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</si>
  <si>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</si>
  <si>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</si>
  <si>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</si>
  <si>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</si>
  <si>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</si>
  <si>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</si>
  <si>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</si>
  <si>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</si>
  <si>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</si>
  <si>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</si>
  <si>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</si>
  <si>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</si>
  <si>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</si>
  <si>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</si>
  <si>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</si>
  <si>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</si>
  <si>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</si>
  <si>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</si>
  <si>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</si>
  <si>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</si>
  <si>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</si>
  <si>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</si>
  <si>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</si>
  <si>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</si>
  <si>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</si>
  <si>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</si>
  <si>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</si>
  <si>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</si>
  <si>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</si>
  <si>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</si>
  <si>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</si>
  <si>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</si>
  <si>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</si>
  <si>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</si>
  <si>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</si>
  <si>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</si>
  <si>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</si>
  <si>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</si>
  <si>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</si>
  <si>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</si>
  <si>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</si>
  <si>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</si>
  <si>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</si>
  <si>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</si>
  <si>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</si>
  <si>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</si>
  <si>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</si>
  <si>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</si>
  <si>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</si>
  <si>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</si>
  <si>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</si>
  <si>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</si>
  <si>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</si>
  <si>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</si>
  <si>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</si>
  <si>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</si>
  <si>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</si>
  <si>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</si>
  <si>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</si>
  <si>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</si>
  <si>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</si>
  <si>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</si>
  <si>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</si>
  <si>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</si>
  <si>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</si>
  <si>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</si>
  <si>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</si>
  <si>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</si>
  <si>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</si>
  <si>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</si>
  <si>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</si>
  <si>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</si>
  <si>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</si>
  <si>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</si>
  <si>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</si>
  <si>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</si>
  <si>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</si>
  <si>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</si>
  <si>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</si>
  <si>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</si>
  <si>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</si>
  <si>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</si>
  <si>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</si>
  <si>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</si>
  <si>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</si>
  <si>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</si>
  <si>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</si>
  <si>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</si>
  <si>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</si>
  <si>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</si>
  <si>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</si>
  <si>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</si>
  <si>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</si>
  <si>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</si>
  <si>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</si>
  <si>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</si>
  <si>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</si>
  <si>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</si>
  <si>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</si>
  <si>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</si>
  <si>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</si>
  <si>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</si>
  <si>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</si>
  <si>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</si>
  <si>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</si>
  <si>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</si>
  <si>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</si>
  <si>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</si>
  <si>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</si>
  <si>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</si>
  <si>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</si>
  <si>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</si>
  <si>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</si>
  <si>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</si>
  <si>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</si>
  <si>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</si>
  <si>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</si>
  <si>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</si>
  <si>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</si>
  <si>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</si>
  <si>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</si>
  <si>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</si>
  <si>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</si>
  <si>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</si>
  <si>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</si>
  <si>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</si>
  <si>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</si>
  <si>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</si>
  <si>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</si>
  <si>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</si>
  <si>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</si>
  <si>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</si>
  <si>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</si>
  <si>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</si>
  <si>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</si>
  <si>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</si>
  <si>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</si>
  <si>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</si>
  <si>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</si>
  <si>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</si>
  <si>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</si>
  <si>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</si>
  <si>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</si>
  <si>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</si>
  <si>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</si>
  <si>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</si>
  <si>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</si>
  <si>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</si>
  <si>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</si>
  <si>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</si>
  <si>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</si>
  <si>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</si>
  <si>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</si>
  <si>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</si>
  <si>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</si>
  <si>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</si>
  <si>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</si>
  <si>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</si>
  <si>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</si>
  <si>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</si>
  <si>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</si>
  <si>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</si>
  <si>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</si>
  <si>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</si>
  <si>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</si>
  <si>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</si>
  <si>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</si>
  <si>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</si>
  <si>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</si>
  <si>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</si>
  <si>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</si>
  <si>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</si>
  <si>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</si>
  <si>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</si>
  <si>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</si>
  <si>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</si>
  <si>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</si>
  <si>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</si>
  <si>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</si>
  <si>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</si>
  <si>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</si>
  <si>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</si>
  <si>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</si>
  <si>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</si>
  <si>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</si>
  <si>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</si>
  <si>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</si>
  <si>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</si>
  <si>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</si>
  <si>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</si>
  <si>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</si>
  <si>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</si>
  <si>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</si>
  <si>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</si>
  <si>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</si>
  <si>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</si>
  <si>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</si>
  <si>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</si>
  <si>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</si>
  <si>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</si>
  <si>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</si>
  <si>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</si>
  <si>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</si>
  <si>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</si>
  <si>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</si>
  <si>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</si>
  <si>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</si>
  <si>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</si>
  <si>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</si>
  <si>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</si>
  <si>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</si>
  <si>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</si>
  <si>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</si>
  <si>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</si>
  <si>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</si>
  <si>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</si>
  <si>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</si>
  <si>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</si>
  <si>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</si>
  <si>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</si>
  <si>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</si>
  <si>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</si>
  <si>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</si>
  <si>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</si>
  <si>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</si>
  <si>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</si>
  <si>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</si>
  <si>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</si>
  <si>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</si>
  <si>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</si>
  <si>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</si>
  <si>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</si>
  <si>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</si>
  <si>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</si>
  <si>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</si>
  <si>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</si>
  <si>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</si>
  <si>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</si>
  <si>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</si>
  <si>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</si>
  <si>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</si>
  <si>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</si>
  <si>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</si>
  <si>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</si>
  <si>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</si>
  <si>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</si>
  <si>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</si>
  <si>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</si>
  <si>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</si>
  <si>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</si>
  <si>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</si>
  <si>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</si>
  <si>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</si>
  <si>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</si>
  <si>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</si>
  <si>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</si>
  <si>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</si>
  <si>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</si>
  <si>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</si>
  <si>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</si>
  <si>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</si>
  <si>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</si>
  <si>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</si>
  <si>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</si>
  <si>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</si>
  <si>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</si>
  <si>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</si>
  <si>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</si>
  <si>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</si>
  <si>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</si>
  <si>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</si>
  <si>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</si>
  <si>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</si>
  <si>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</si>
  <si>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</si>
  <si>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</si>
  <si>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</si>
  <si>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</si>
  <si>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</si>
  <si>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</si>
  <si>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</si>
  <si>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</si>
  <si>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</si>
  <si>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</si>
  <si>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</si>
  <si>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</si>
  <si>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</si>
  <si>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</si>
  <si>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</si>
  <si>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</si>
  <si>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</si>
  <si>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</si>
  <si>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</si>
  <si>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</si>
  <si>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</si>
  <si>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</si>
  <si>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</si>
  <si>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</si>
  <si>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</si>
  <si>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</si>
  <si>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</si>
  <si>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</si>
  <si>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</si>
  <si>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</si>
  <si>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</si>
  <si>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</si>
  <si>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</si>
  <si>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</si>
  <si>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</si>
  <si>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</si>
  <si>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</si>
  <si>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</si>
  <si>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</si>
  <si>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</si>
  <si>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</si>
  <si>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</si>
  <si>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</si>
  <si>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</si>
  <si>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</si>
  <si>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</si>
  <si>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</si>
  <si>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</si>
  <si>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</si>
  <si>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</si>
  <si>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</si>
  <si>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</si>
  <si>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</si>
  <si>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</si>
  <si>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</si>
  <si>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</si>
  <si>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</si>
  <si>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</si>
  <si>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</si>
  <si>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</si>
  <si>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</si>
  <si>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</si>
  <si>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</si>
  <si>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</si>
  <si>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</si>
  <si>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</si>
  <si>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</si>
  <si>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</si>
  <si>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</si>
  <si>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</si>
  <si>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</si>
  <si>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</si>
  <si>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</si>
  <si>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</si>
  <si>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</si>
  <si>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</si>
  <si>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</si>
  <si>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</si>
  <si>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</si>
  <si>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</si>
  <si>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</si>
  <si>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</si>
  <si>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</si>
  <si>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</si>
  <si>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</si>
  <si>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</si>
  <si>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</si>
  <si>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</si>
  <si>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</si>
  <si>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</si>
  <si>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</si>
  <si>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</si>
  <si>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</si>
  <si>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</si>
  <si>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</si>
  <si>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</si>
  <si>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</si>
  <si>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</si>
  <si>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</si>
  <si>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</si>
  <si>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</si>
  <si>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</si>
  <si>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</si>
  <si>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</si>
  <si>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</si>
  <si>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</si>
  <si>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</si>
  <si>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</si>
  <si>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</si>
  <si>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</si>
  <si>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</si>
  <si>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</si>
  <si>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</si>
  <si>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</si>
  <si>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</si>
  <si>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</si>
  <si>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</si>
  <si>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</si>
  <si>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</si>
  <si>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</si>
  <si>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</si>
  <si>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</si>
  <si>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</si>
  <si>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</si>
  <si>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</si>
  <si>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</si>
  <si>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</si>
  <si>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</si>
  <si>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</si>
  <si>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</si>
  <si>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</si>
  <si>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</si>
  <si>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</si>
  <si>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</si>
  <si>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</si>
  <si>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</si>
  <si>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</si>
  <si>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</si>
  <si>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</si>
  <si>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</si>
  <si>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</si>
  <si>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</si>
  <si>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</si>
  <si>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</si>
  <si>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</si>
  <si>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</si>
  <si>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</si>
  <si>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</si>
  <si>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</si>
  <si>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</si>
  <si>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</si>
  <si>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</si>
  <si>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</si>
  <si>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</si>
  <si>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</si>
  <si>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</si>
  <si>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</si>
  <si>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</si>
  <si>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</si>
  <si>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</si>
  <si>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</si>
  <si>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</si>
  <si>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</si>
  <si>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</si>
  <si>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</si>
  <si>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</si>
  <si>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</si>
  <si>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</si>
  <si>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</si>
  <si>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</si>
  <si>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</si>
  <si>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</si>
  <si>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</si>
  <si>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</si>
  <si>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</si>
  <si>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</si>
  <si>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</si>
  <si>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</si>
  <si>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</si>
  <si>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</si>
  <si>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</si>
  <si>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</si>
  <si>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</si>
  <si>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</si>
  <si>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</si>
  <si>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</si>
  <si>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</si>
  <si>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</si>
  <si>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</si>
  <si>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</si>
  <si>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</si>
  <si>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</si>
  <si>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</si>
  <si>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</si>
  <si>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</si>
  <si>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</si>
  <si>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</si>
  <si>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</si>
  <si>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</si>
  <si>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</si>
  <si>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</si>
  <si>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</si>
  <si>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</si>
  <si>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</si>
  <si>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</si>
  <si>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</si>
  <si>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</si>
  <si>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</si>
  <si>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</si>
  <si>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</si>
  <si>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</si>
  <si>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</si>
  <si>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</si>
  <si>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</si>
  <si>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</si>
  <si>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</si>
  <si>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</si>
  <si>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</si>
  <si>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</si>
  <si>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</si>
  <si>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</si>
  <si>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</si>
  <si>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</si>
  <si>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</si>
  <si>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</si>
  <si>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</si>
  <si>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</si>
  <si>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</si>
  <si>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</si>
  <si>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</si>
  <si>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</si>
  <si>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</si>
  <si>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</si>
  <si>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</si>
  <si>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</si>
  <si>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</si>
  <si>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</si>
  <si>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</si>
  <si>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</si>
  <si>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</si>
  <si>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</si>
  <si>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</si>
  <si>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</si>
  <si>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</si>
  <si>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</si>
  <si>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</si>
  <si>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</si>
  <si>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</si>
  <si>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</si>
  <si>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</si>
  <si>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</si>
  <si>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</si>
  <si>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</si>
  <si>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</si>
  <si>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</si>
  <si>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</si>
  <si>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</si>
  <si>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</si>
  <si>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</si>
  <si>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</si>
  <si>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</si>
  <si>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</si>
  <si>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</si>
  <si>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</si>
  <si>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</si>
  <si>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</si>
  <si>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</si>
  <si>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</si>
  <si>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</si>
  <si>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</si>
  <si>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</si>
  <si>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</si>
  <si>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</si>
  <si>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</si>
  <si>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</si>
  <si>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</si>
  <si>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</si>
  <si>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</si>
  <si>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</si>
  <si>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</si>
  <si>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</si>
  <si>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</si>
  <si>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</si>
  <si>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</si>
  <si>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</si>
  <si>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</si>
  <si>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</si>
  <si>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</si>
  <si>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</si>
  <si>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</si>
  <si>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</si>
  <si>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</si>
  <si>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</si>
  <si>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</si>
  <si>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</si>
  <si>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</si>
  <si>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</si>
  <si>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</si>
  <si>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</si>
  <si>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</si>
  <si>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</si>
  <si>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</si>
  <si>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</si>
  <si>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</si>
  <si>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</si>
  <si>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</si>
  <si>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</si>
  <si>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</si>
  <si>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</si>
  <si>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</si>
  <si>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</si>
  <si>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</si>
  <si>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</si>
  <si>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</si>
  <si>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</si>
  <si>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</si>
  <si>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</si>
  <si>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</si>
  <si>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</si>
  <si>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</si>
  <si>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</si>
  <si>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</si>
  <si>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</si>
  <si>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</si>
  <si>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</si>
  <si>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</si>
  <si>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</si>
  <si>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</si>
  <si>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</si>
  <si>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</si>
  <si>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</si>
  <si>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</si>
  <si>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</si>
  <si>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</si>
  <si>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</si>
  <si>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</si>
  <si>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</si>
  <si>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</si>
  <si>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</si>
  <si>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</si>
  <si>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</si>
  <si>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</si>
  <si>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</si>
  <si>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</si>
  <si>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</si>
  <si>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</si>
  <si>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</si>
  <si>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</si>
  <si>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</si>
  <si>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</si>
  <si>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</si>
  <si>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</si>
  <si>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</si>
  <si>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</si>
  <si>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</si>
  <si>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</si>
  <si>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</si>
  <si>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</si>
  <si>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</si>
  <si>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</si>
  <si>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</si>
  <si>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</si>
  <si>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</si>
  <si>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</si>
  <si>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</si>
  <si>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</si>
  <si>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</si>
  <si>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</si>
  <si>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</si>
  <si>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</si>
  <si>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</si>
  <si>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</si>
  <si>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</si>
  <si>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</si>
  <si>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</si>
  <si>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</si>
  <si>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</si>
  <si>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</si>
  <si>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</si>
  <si>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</si>
  <si>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</si>
  <si>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</si>
  <si>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</si>
  <si>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</si>
  <si>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</si>
  <si>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</si>
  <si>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</si>
  <si>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</si>
  <si>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</si>
  <si>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</si>
  <si>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</si>
  <si>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</si>
  <si>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</si>
  <si>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</si>
  <si>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</si>
  <si>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</si>
  <si>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</si>
  <si>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</si>
  <si>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</si>
  <si>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</si>
  <si>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</si>
  <si>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</si>
  <si>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</si>
  <si>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</si>
  <si>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</si>
  <si>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</si>
  <si>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</si>
  <si>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</si>
  <si>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</si>
  <si>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</si>
  <si>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</si>
  <si>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</si>
  <si>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</si>
  <si>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</si>
  <si>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</si>
  <si>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</si>
  <si>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</si>
  <si>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</si>
  <si>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</si>
  <si>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</si>
  <si>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</si>
  <si>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</si>
  <si>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</si>
  <si>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</si>
  <si>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</si>
  <si>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</si>
  <si>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</si>
  <si>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</si>
  <si>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</si>
  <si>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</si>
  <si>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</si>
  <si>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</si>
  <si>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</si>
  <si>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</si>
  <si>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</si>
  <si>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</si>
  <si>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</si>
  <si>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</si>
  <si>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</si>
  <si>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</si>
  <si>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</si>
  <si>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</si>
  <si>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</si>
  <si>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</si>
  <si>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</si>
  <si>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</si>
  <si>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</si>
  <si>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</si>
  <si>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</si>
  <si>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</si>
  <si>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</si>
  <si>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</si>
  <si>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</si>
  <si>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</si>
  <si>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</si>
  <si>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</si>
  <si>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</si>
  <si>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</si>
  <si>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</si>
  <si>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</si>
  <si>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</si>
  <si>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</si>
  <si>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</si>
  <si>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</si>
  <si>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</si>
  <si>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</si>
  <si>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</si>
  <si>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</si>
  <si>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</si>
  <si>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</si>
  <si>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</si>
  <si>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</si>
  <si>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</si>
  <si>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</si>
  <si>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</si>
  <si>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</si>
  <si>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</si>
  <si>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</si>
  <si>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</si>
  <si>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</si>
  <si>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</si>
  <si>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</si>
  <si>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</si>
  <si>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</si>
  <si>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</si>
  <si>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</si>
  <si>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</si>
  <si>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</si>
  <si>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</si>
  <si>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</si>
  <si>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</si>
  <si>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</si>
  <si>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</si>
  <si>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</si>
  <si>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</si>
  <si>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</si>
  <si>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</si>
  <si>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</si>
  <si>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</si>
  <si>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</si>
  <si>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</si>
  <si>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</si>
  <si>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</si>
  <si>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</si>
  <si>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</si>
  <si>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</si>
  <si>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</si>
  <si>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</si>
  <si>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</si>
  <si>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</si>
  <si>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</si>
  <si>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</si>
  <si>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</si>
  <si>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</si>
  <si>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</si>
  <si>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</si>
  <si>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</si>
  <si>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</si>
  <si>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</si>
  <si>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</si>
  <si>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</si>
  <si>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</si>
  <si>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</si>
  <si>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</si>
  <si>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</si>
  <si>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</si>
  <si>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</si>
  <si>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</si>
  <si>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</si>
  <si>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</si>
  <si>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</si>
  <si>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</si>
  <si>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</si>
  <si>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</si>
  <si>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</si>
  <si>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</si>
  <si>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</si>
  <si>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</si>
  <si>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</si>
  <si>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</si>
  <si>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</si>
  <si>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</si>
  <si>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</si>
  <si>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</si>
  <si>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</si>
  <si>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</si>
  <si>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</si>
  <si>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</si>
  <si>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</si>
  <si>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</si>
  <si>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</si>
  <si>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</si>
  <si>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</si>
  <si>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</si>
  <si>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</si>
  <si>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</si>
  <si>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</si>
  <si>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</si>
  <si>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</si>
  <si>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</si>
  <si>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</si>
  <si>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</si>
  <si>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</si>
  <si>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</si>
  <si>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</si>
  <si>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</si>
  <si>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</si>
  <si>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</si>
  <si>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</si>
  <si>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</si>
  <si>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</si>
  <si>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</si>
  <si>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</si>
  <si>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</si>
  <si>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</si>
  <si>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</si>
  <si>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</si>
  <si>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</si>
  <si>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</si>
  <si>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</si>
  <si>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</si>
  <si>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</si>
  <si>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</si>
  <si>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</si>
  <si>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</si>
  <si>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</si>
  <si>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</si>
  <si>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</si>
  <si>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</si>
  <si>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</si>
  <si>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</si>
  <si>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</si>
  <si>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</si>
  <si>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</si>
  <si>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</si>
  <si>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</si>
  <si>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</si>
  <si>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</si>
  <si>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</si>
  <si>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</si>
  <si>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</si>
  <si>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</si>
  <si>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</si>
  <si>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</si>
  <si>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</si>
  <si>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</si>
  <si>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</si>
  <si>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</si>
  <si>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</si>
  <si>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</si>
  <si>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</si>
  <si>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</si>
  <si>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</si>
  <si>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</si>
  <si>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</si>
  <si>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</si>
  <si>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</si>
  <si>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</si>
  <si>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</si>
  <si>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</si>
  <si>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</si>
  <si>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</si>
  <si>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</si>
  <si>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</si>
  <si>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</si>
  <si>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</si>
  <si>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</si>
  <si>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</si>
  <si>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</si>
  <si>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</si>
  <si>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</si>
  <si>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</si>
  <si>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</si>
  <si>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</si>
  <si>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</si>
  <si>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</si>
  <si>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</si>
  <si>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</si>
  <si>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</si>
  <si>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</si>
  <si>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</si>
  <si>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</si>
  <si>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</si>
  <si>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</si>
  <si>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</si>
  <si>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</si>
  <si>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</si>
  <si>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</si>
  <si>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</si>
  <si>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</si>
  <si>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</si>
  <si>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</si>
  <si>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</si>
  <si>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</si>
  <si>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</si>
  <si>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</si>
  <si>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</si>
  <si>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</si>
  <si>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</si>
  <si>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</si>
  <si>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</si>
  <si>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</si>
  <si>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</si>
  <si>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</si>
  <si>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</si>
  <si>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</si>
  <si>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</si>
  <si>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</si>
  <si>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</si>
  <si>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</si>
  <si>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</si>
  <si>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</si>
  <si>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</si>
  <si>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</si>
  <si>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</si>
  <si>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</si>
  <si>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</si>
  <si>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</si>
  <si>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</si>
  <si>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</si>
  <si>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</si>
  <si>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</si>
  <si>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</si>
  <si>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</si>
  <si>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</si>
  <si>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</si>
  <si>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</si>
  <si>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</si>
  <si>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</si>
  <si>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</si>
  <si>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</si>
  <si>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</si>
  <si>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</si>
  <si>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</si>
  <si>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</si>
  <si>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</si>
  <si>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</si>
  <si>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</si>
  <si>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</si>
  <si>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</si>
  <si>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</si>
  <si>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</si>
  <si>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</si>
  <si>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</si>
  <si>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</si>
  <si>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</si>
  <si>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</si>
  <si>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</si>
  <si>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</si>
  <si>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</si>
  <si>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</si>
  <si>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</si>
  <si>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</si>
  <si>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</si>
  <si>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</si>
  <si>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</si>
  <si>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</si>
  <si>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</si>
  <si>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</si>
  <si>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</si>
  <si>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</si>
  <si>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</si>
  <si>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</si>
  <si>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</si>
  <si>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</si>
  <si>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</si>
  <si>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</si>
  <si>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</si>
  <si>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</si>
  <si>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</si>
  <si>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</si>
  <si>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</si>
  <si>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</si>
  <si>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</si>
  <si>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</si>
  <si>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</si>
  <si>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</si>
  <si>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</si>
  <si>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</si>
  <si>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</si>
  <si>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</si>
  <si>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</si>
  <si>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</si>
  <si>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</si>
  <si>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</si>
  <si>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</si>
  <si>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</si>
  <si>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</si>
  <si>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</si>
  <si>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</si>
  <si>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</si>
  <si>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</si>
  <si>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</si>
  <si>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</si>
  <si>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</si>
  <si>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</si>
  <si>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</si>
  <si>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</si>
  <si>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</si>
  <si>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</si>
  <si>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</si>
  <si>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</si>
  <si>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</si>
  <si>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</si>
  <si>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</si>
  <si>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</si>
  <si>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</si>
  <si>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</si>
  <si>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</si>
  <si>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</si>
  <si>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</si>
  <si>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</si>
  <si>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</si>
  <si>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</si>
  <si>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</si>
  <si>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</si>
  <si>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</si>
  <si>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</si>
  <si>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</si>
  <si>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</si>
  <si>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</si>
  <si>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</si>
  <si>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</si>
  <si>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</si>
  <si>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</si>
  <si>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</si>
  <si>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</si>
  <si>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</si>
  <si>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</si>
  <si>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</si>
  <si>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</si>
  <si>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</si>
  <si>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</si>
  <si>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</si>
  <si>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</si>
  <si>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</si>
  <si>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</si>
  <si>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</si>
  <si>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</si>
  <si>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</si>
  <si>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</si>
  <si>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</si>
  <si>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</si>
  <si>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</si>
  <si>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</si>
  <si>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</si>
  <si>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</si>
  <si>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</si>
  <si>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</si>
  <si>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</si>
  <si>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</si>
  <si>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</si>
  <si>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</si>
  <si>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</si>
  <si>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</si>
  <si>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</si>
  <si>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</si>
  <si>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</si>
  <si>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</si>
  <si>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</si>
  <si>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</si>
  <si>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</si>
  <si>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</si>
  <si>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</si>
  <si>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</si>
  <si>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</si>
  <si>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</si>
  <si>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</si>
  <si>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</si>
  <si>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</si>
  <si>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</si>
  <si>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</si>
  <si>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</si>
  <si>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</si>
  <si>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</si>
  <si>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</si>
  <si>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</si>
  <si>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</si>
  <si>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</si>
  <si>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</si>
  <si>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</si>
  <si>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</si>
  <si>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</si>
  <si>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</si>
  <si>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</si>
  <si>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</si>
  <si>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</si>
  <si>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</si>
  <si>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</si>
  <si>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</si>
  <si>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</si>
  <si>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</si>
  <si>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</si>
  <si>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</si>
  <si>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</si>
  <si>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</si>
  <si>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</si>
  <si>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</si>
  <si>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</si>
  <si>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</si>
  <si>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</si>
  <si>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</si>
  <si>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</si>
  <si>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</si>
  <si>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</si>
  <si>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</si>
  <si>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</si>
  <si>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</si>
  <si>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</si>
  <si>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</si>
  <si>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</si>
  <si>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</si>
  <si>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</si>
  <si>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</si>
  <si>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</si>
  <si>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</si>
  <si>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</si>
  <si>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</si>
  <si>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</si>
  <si>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</si>
  <si>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</si>
  <si>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</si>
  <si>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</si>
  <si>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</si>
  <si>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</si>
  <si>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</si>
  <si>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</si>
  <si>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</si>
  <si>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</si>
  <si>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</si>
  <si>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</si>
  <si>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</si>
  <si>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</si>
  <si>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</si>
  <si>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</si>
  <si>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</si>
  <si>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</si>
  <si>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</si>
  <si>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</si>
  <si>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</si>
  <si>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</si>
  <si>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</si>
  <si>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</si>
  <si>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</si>
  <si>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</si>
  <si>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</si>
  <si>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</si>
  <si>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</si>
  <si>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</si>
  <si>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</si>
  <si>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</si>
  <si>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</si>
  <si>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</si>
  <si>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</si>
  <si>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</si>
  <si>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</si>
  <si>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</si>
  <si>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</si>
  <si>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</si>
  <si>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</si>
  <si>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</si>
  <si>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</si>
  <si>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</si>
  <si>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</si>
  <si>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</si>
  <si>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</si>
  <si>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</si>
  <si>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</si>
  <si>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</si>
  <si>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</si>
  <si>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</si>
  <si>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</si>
  <si>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</si>
  <si>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</si>
  <si>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</si>
  <si>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</si>
  <si>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</si>
  <si>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</si>
  <si>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</si>
  <si>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</si>
  <si>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</si>
  <si>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</si>
  <si>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</si>
  <si>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</si>
  <si>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</si>
  <si>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</si>
  <si>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</si>
  <si>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</si>
  <si>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</si>
  <si>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</si>
  <si>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</si>
  <si>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</si>
  <si>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</si>
  <si>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</si>
  <si>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</si>
  <si>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</si>
  <si>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</si>
  <si>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</si>
  <si>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</si>
  <si>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</si>
  <si>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</si>
  <si>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</si>
  <si>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</si>
  <si>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</si>
  <si>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</si>
  <si>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</si>
  <si>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</si>
  <si>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</si>
  <si>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</si>
  <si>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</si>
  <si>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</si>
  <si>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</si>
  <si>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</si>
  <si>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</si>
  <si>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</si>
  <si>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</si>
  <si>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</si>
  <si>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</si>
  <si>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</si>
  <si>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</si>
  <si>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</si>
  <si>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</si>
  <si>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</si>
  <si>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</si>
  <si>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</si>
  <si>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</si>
  <si>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</si>
  <si>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</si>
  <si>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</si>
  <si>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</si>
  <si>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</si>
  <si>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</si>
  <si>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</si>
  <si>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</si>
  <si>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</si>
  <si>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</si>
  <si>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</si>
  <si>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</si>
  <si>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</si>
  <si>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</si>
  <si>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</si>
  <si>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</si>
  <si>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</si>
  <si>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</si>
  <si>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</si>
  <si>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</si>
  <si>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</si>
  <si>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</si>
  <si>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</si>
  <si>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</si>
  <si>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</si>
  <si>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</si>
  <si>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</si>
  <si>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</si>
  <si>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</si>
  <si>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</si>
  <si>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</si>
  <si>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</si>
  <si>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</si>
  <si>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</si>
  <si>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</si>
  <si>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</si>
  <si>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</si>
  <si>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</si>
  <si>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</si>
  <si>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</si>
  <si>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</si>
  <si>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</si>
  <si>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</si>
  <si>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</si>
  <si>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</si>
  <si>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</si>
  <si>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</si>
  <si>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</si>
  <si>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</si>
  <si>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</si>
  <si>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</si>
  <si>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</si>
  <si>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</si>
  <si>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</si>
  <si>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</si>
  <si>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</si>
  <si>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</si>
  <si>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</si>
  <si>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</si>
  <si>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</si>
  <si>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</si>
  <si>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</si>
  <si>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</si>
  <si>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</si>
  <si>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</si>
  <si>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</si>
  <si>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</si>
  <si>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</si>
  <si>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</si>
  <si>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</si>
  <si>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</si>
  <si>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</si>
  <si>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</si>
  <si>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</si>
  <si>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</si>
  <si>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</si>
  <si>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</si>
  <si>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</si>
  <si>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</si>
  <si>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</si>
  <si>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</si>
  <si>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</si>
  <si>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</si>
  <si>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</si>
  <si>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</si>
  <si>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</si>
  <si>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</si>
  <si>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</si>
  <si>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</si>
  <si>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</si>
  <si>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</si>
  <si>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</si>
  <si>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</si>
  <si>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</si>
  <si>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</si>
  <si>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</si>
  <si>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</si>
  <si>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</si>
  <si>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</si>
  <si>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</si>
  <si>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</si>
  <si>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</si>
  <si>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</si>
  <si>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</si>
  <si>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</si>
  <si>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</si>
  <si>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</si>
  <si>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</si>
  <si>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</si>
  <si>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</si>
  <si>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</si>
  <si>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</si>
  <si>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</si>
  <si>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</si>
  <si>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</si>
  <si>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</si>
  <si>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</si>
  <si>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</si>
  <si>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</si>
  <si>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</si>
  <si>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</si>
  <si>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</si>
  <si>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</si>
  <si>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</si>
  <si>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</si>
  <si>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</si>
  <si>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</si>
  <si>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</si>
  <si>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</si>
  <si>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</si>
  <si>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</si>
  <si>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</si>
  <si>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</si>
  <si>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</si>
  <si>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</si>
  <si>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</si>
  <si>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</si>
  <si>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</si>
  <si>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</si>
  <si>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</si>
  <si>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</si>
  <si>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</si>
  <si>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</si>
  <si>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</si>
  <si>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</si>
  <si>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</si>
  <si>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</si>
  <si>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</si>
  <si>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</si>
  <si>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</si>
  <si>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</si>
  <si>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</si>
  <si>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</si>
  <si>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</si>
  <si>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</si>
  <si>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</si>
  <si>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</si>
  <si>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</si>
  <si>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</si>
  <si>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</si>
  <si>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</si>
  <si>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</si>
  <si>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</si>
  <si>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</si>
  <si>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</si>
  <si>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</si>
  <si>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</si>
  <si>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</si>
  <si>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</si>
  <si>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</si>
  <si>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</si>
  <si>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</si>
  <si>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</si>
  <si>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</si>
  <si>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</si>
  <si>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</si>
  <si>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</si>
  <si>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</si>
  <si>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</si>
  <si>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</si>
  <si>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</si>
  <si>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</si>
  <si>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</si>
  <si>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</si>
  <si>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</si>
  <si>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</si>
  <si>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</si>
  <si>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</si>
  <si>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</si>
  <si>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</si>
  <si>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</si>
  <si>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</si>
  <si>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</si>
  <si>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</si>
  <si>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</si>
  <si>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</si>
  <si>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</si>
  <si>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</si>
  <si>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</si>
  <si>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</si>
  <si>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</si>
  <si>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</si>
  <si>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</si>
  <si>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</si>
  <si>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</si>
  <si>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</si>
  <si>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</si>
  <si>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</si>
  <si>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</si>
  <si>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</si>
  <si>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</si>
  <si>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</si>
  <si>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</si>
  <si>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</si>
  <si>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</si>
  <si>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</si>
  <si>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</si>
  <si>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</si>
  <si>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</si>
  <si>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</si>
  <si>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</si>
  <si>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</si>
  <si>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</si>
  <si>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</si>
  <si>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</si>
  <si>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</si>
  <si>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</si>
  <si>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</si>
  <si>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</si>
  <si>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</si>
  <si>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</si>
  <si>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</si>
  <si>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</si>
  <si>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</si>
  <si>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</si>
  <si>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</si>
  <si>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</si>
  <si>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</si>
  <si>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</si>
  <si>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</si>
  <si>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</si>
  <si>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</si>
  <si>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</si>
  <si>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</si>
  <si>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</si>
  <si>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</si>
  <si>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</si>
  <si>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</si>
  <si>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</si>
  <si>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</si>
  <si>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</si>
  <si>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</si>
  <si>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</si>
  <si>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</si>
  <si>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</si>
  <si>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</si>
  <si>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</si>
  <si>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</si>
  <si>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</si>
  <si>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</si>
  <si>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</si>
  <si>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</si>
  <si>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</si>
  <si>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</si>
  <si>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</si>
  <si>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</si>
  <si>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</si>
  <si>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</si>
  <si>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</si>
  <si>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</si>
  <si>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</si>
  <si>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</si>
  <si>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</si>
  <si>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</si>
  <si>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</si>
  <si>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</si>
  <si>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</si>
  <si>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</si>
  <si>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</si>
  <si>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</si>
  <si>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</si>
  <si>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</si>
  <si>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</si>
  <si>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</si>
  <si>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</si>
  <si>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</si>
  <si>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</si>
  <si>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</si>
  <si>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</si>
  <si>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</si>
  <si>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</si>
  <si>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</si>
  <si>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</si>
  <si>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</si>
  <si>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</si>
  <si>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</si>
  <si>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</si>
  <si>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</si>
  <si>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</si>
  <si>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</si>
  <si>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</si>
  <si>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</si>
  <si>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</si>
  <si>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</si>
  <si>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</si>
  <si>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</si>
  <si>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</si>
  <si>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</si>
  <si>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</si>
  <si>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</si>
  <si>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</si>
  <si>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</si>
  <si>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</si>
  <si>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</si>
  <si>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</si>
  <si>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</si>
  <si>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</si>
  <si>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</si>
  <si>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</si>
  <si>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</si>
  <si>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</si>
  <si>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</si>
  <si>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</si>
  <si>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</si>
  <si>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</si>
  <si>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</si>
  <si>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</si>
  <si>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</si>
  <si>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</si>
  <si>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</si>
  <si>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</si>
  <si>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</si>
  <si>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</si>
  <si>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</si>
  <si>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</si>
  <si>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</si>
  <si>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</si>
  <si>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</si>
  <si>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</si>
  <si>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</si>
  <si>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</si>
  <si>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</si>
  <si>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</si>
  <si>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</si>
  <si>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</si>
  <si>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</si>
  <si>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</si>
  <si>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</si>
  <si>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</si>
  <si>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</si>
  <si>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</si>
  <si>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</si>
  <si>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</si>
  <si>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</si>
  <si>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</si>
  <si>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</si>
  <si>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</si>
  <si>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</si>
  <si>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</si>
  <si>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</si>
  <si>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</si>
  <si>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</si>
  <si>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</si>
  <si>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</si>
  <si>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</si>
  <si>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</si>
  <si>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</si>
  <si>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</si>
  <si>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</si>
  <si>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</si>
  <si>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</si>
  <si>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</si>
  <si>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</si>
  <si>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</si>
  <si>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</si>
  <si>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</si>
  <si>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</si>
  <si>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</si>
  <si>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</si>
  <si>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</si>
  <si>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</si>
  <si>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</si>
  <si>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</si>
  <si>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</si>
  <si>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</si>
  <si>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</si>
  <si>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</si>
  <si>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</si>
  <si>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</si>
  <si>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</si>
  <si>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</si>
  <si>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</si>
  <si>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</si>
  <si>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</si>
  <si>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</si>
  <si>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</si>
  <si>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</si>
  <si>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</si>
  <si>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</si>
  <si>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</si>
  <si>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</si>
  <si>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</si>
  <si>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</si>
  <si>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</si>
  <si>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</si>
  <si>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</si>
  <si>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</si>
  <si>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</si>
  <si>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</si>
  <si>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</si>
  <si>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</si>
  <si>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</si>
  <si>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</si>
  <si>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</si>
  <si>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</si>
  <si>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</si>
  <si>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</si>
  <si>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</si>
  <si>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</si>
  <si>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</si>
  <si>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</si>
  <si>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</si>
  <si>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</si>
  <si>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</si>
  <si>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</si>
  <si>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</si>
  <si>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</si>
  <si>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</si>
  <si>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</si>
  <si>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</si>
  <si>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</si>
  <si>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</si>
  <si>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</si>
  <si>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</si>
  <si>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</si>
  <si>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</si>
  <si>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</si>
  <si>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</si>
  <si>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</si>
  <si>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</si>
  <si>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</si>
  <si>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</si>
  <si>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</si>
  <si>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</si>
  <si>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</si>
  <si>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</si>
  <si>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</si>
  <si>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</si>
  <si>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</si>
  <si>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</si>
  <si>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</si>
  <si>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</si>
  <si>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</si>
  <si>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</si>
  <si>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</si>
  <si>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</si>
  <si>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</si>
  <si>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</si>
  <si>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</si>
  <si>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</si>
  <si>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</si>
  <si>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</si>
  <si>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</si>
  <si>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</si>
  <si>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</si>
  <si>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</si>
  <si>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</si>
  <si>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</si>
  <si>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</si>
  <si>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</si>
  <si>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</si>
  <si>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</si>
  <si>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</si>
  <si>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</si>
  <si>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</si>
  <si>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</si>
  <si>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</si>
  <si>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</si>
  <si>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</si>
  <si>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</si>
  <si>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</si>
  <si>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</si>
  <si>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</si>
  <si>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</si>
  <si>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</si>
  <si>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</si>
  <si>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</si>
  <si>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</si>
  <si>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</si>
  <si>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</si>
  <si>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</si>
  <si>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</si>
  <si>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</si>
  <si>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</si>
  <si>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</si>
  <si>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</si>
  <si>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</si>
  <si>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</si>
  <si>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</si>
  <si>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</si>
  <si>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</si>
  <si>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</si>
  <si>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</si>
  <si>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</si>
  <si>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</si>
  <si>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</si>
  <si>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</si>
  <si>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</si>
  <si>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</si>
  <si>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</si>
  <si>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</si>
  <si>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</si>
  <si>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</si>
  <si>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</si>
  <si>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</si>
  <si>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</si>
  <si>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</si>
  <si>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</si>
  <si>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</si>
  <si>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</si>
  <si>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</si>
  <si>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</si>
  <si>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</si>
  <si>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</si>
  <si>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</si>
  <si>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</si>
  <si>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</si>
  <si>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</si>
  <si>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</si>
  <si>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</si>
  <si>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</si>
  <si>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</si>
  <si>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</si>
  <si>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</si>
  <si>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</si>
  <si>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</si>
  <si>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</si>
  <si>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</si>
  <si>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</si>
  <si>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</si>
  <si>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</si>
  <si>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</si>
  <si>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</si>
  <si>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</si>
  <si>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</si>
  <si>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</si>
  <si>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</si>
  <si>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</si>
  <si>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</si>
  <si>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</si>
  <si>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</si>
  <si>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</si>
  <si>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</si>
  <si>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</si>
  <si>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</si>
  <si>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</si>
  <si>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</si>
  <si>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</si>
  <si>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</si>
  <si>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</si>
  <si>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</si>
  <si>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</si>
  <si>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</si>
  <si>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</si>
  <si>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</si>
  <si>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</si>
  <si>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</si>
  <si>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</si>
  <si>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</si>
  <si>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</si>
  <si>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</si>
  <si>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</si>
  <si>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</si>
  <si>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</si>
  <si>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</si>
  <si>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</si>
  <si>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</si>
  <si>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</si>
  <si>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</si>
  <si>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</si>
  <si>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</si>
  <si>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</si>
  <si>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</si>
  <si>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</si>
  <si>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</si>
  <si>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</si>
  <si>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</si>
  <si>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</si>
  <si>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</si>
  <si>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</si>
  <si>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</si>
  <si>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</si>
  <si>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</si>
  <si>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</si>
  <si>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</si>
  <si>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</si>
  <si>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</si>
  <si>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</si>
  <si>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</si>
  <si>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</si>
  <si>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</si>
  <si>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</si>
  <si>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</si>
  <si>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</si>
  <si>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</si>
  <si>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</si>
  <si>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</si>
  <si>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</si>
  <si>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</si>
  <si>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</si>
  <si>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</si>
  <si>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</si>
  <si>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</si>
  <si>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</si>
  <si>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</si>
  <si>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</si>
  <si>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</si>
  <si>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</si>
  <si>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</si>
  <si>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</si>
  <si>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</si>
  <si>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</si>
  <si>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</si>
  <si>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</si>
  <si>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</si>
  <si>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</si>
  <si>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</si>
  <si>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</si>
  <si>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</si>
  <si>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</si>
  <si>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</si>
  <si>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</si>
  <si>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</si>
  <si>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</si>
  <si>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</si>
  <si>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</si>
  <si>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</si>
  <si>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</si>
  <si>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</si>
  <si>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</si>
  <si>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</si>
  <si>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</si>
  <si>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</si>
  <si>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</si>
  <si>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</si>
  <si>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</si>
  <si>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</si>
  <si>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</si>
  <si>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</si>
  <si>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</si>
  <si>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</si>
  <si>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</si>
  <si>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</si>
  <si>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</si>
  <si>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</si>
  <si>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</si>
  <si>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</si>
  <si>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</si>
  <si>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</si>
  <si>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</si>
  <si>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</si>
  <si>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</si>
  <si>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</si>
  <si>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</si>
  <si>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</si>
  <si>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</si>
  <si>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</si>
  <si>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</si>
  <si>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</si>
  <si>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</si>
  <si>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</si>
  <si>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</si>
  <si>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</si>
  <si>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</si>
  <si>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</si>
  <si>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</si>
  <si>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</si>
  <si>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</si>
  <si>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</si>
  <si>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</si>
  <si>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</si>
  <si>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</si>
  <si>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</si>
  <si>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</si>
  <si>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</si>
  <si>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</si>
  <si>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</si>
  <si>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</si>
  <si>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</si>
  <si>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</si>
  <si>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</si>
  <si>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</si>
  <si>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</si>
  <si>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</si>
  <si>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</si>
  <si>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</si>
  <si>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</si>
  <si>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</si>
  <si>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</si>
  <si>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</si>
  <si>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</si>
  <si>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</si>
  <si>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</si>
  <si>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</si>
  <si>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</si>
  <si>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</si>
  <si>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</si>
  <si>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</si>
  <si>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</si>
  <si>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</si>
  <si>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</si>
  <si>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</si>
  <si>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</si>
  <si>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</si>
  <si>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</si>
  <si>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</si>
  <si>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</si>
  <si>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</si>
  <si>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</si>
  <si>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</si>
  <si>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</si>
  <si>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</si>
  <si>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</si>
  <si>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</si>
  <si>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</si>
  <si>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</si>
  <si>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</si>
  <si>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</si>
  <si>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</si>
  <si>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</si>
  <si>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</si>
  <si>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</si>
  <si>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</si>
  <si>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</si>
  <si>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</si>
  <si>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</si>
  <si>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</si>
  <si>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</si>
  <si>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</si>
  <si>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</si>
  <si>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</si>
  <si>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</si>
  <si>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</si>
  <si>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</si>
  <si>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</si>
  <si>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</si>
  <si>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</si>
  <si>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</si>
  <si>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</si>
  <si>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</si>
  <si>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</si>
  <si>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</si>
  <si>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</si>
  <si>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</si>
  <si>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</si>
  <si>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</si>
  <si>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</si>
  <si>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</si>
  <si>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</si>
  <si>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</si>
  <si>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</si>
  <si>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</si>
  <si>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</si>
  <si>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</si>
  <si>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</si>
  <si>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</si>
  <si>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</si>
  <si>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</si>
  <si>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</si>
  <si>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</si>
  <si>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</si>
  <si>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</si>
  <si>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</si>
  <si>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</si>
  <si>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</si>
  <si>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</si>
  <si>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</si>
  <si>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</si>
  <si>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</si>
  <si>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</si>
  <si>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</si>
  <si>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</si>
  <si>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</si>
  <si>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</si>
  <si>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</si>
  <si>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</si>
  <si>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</si>
  <si>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</si>
  <si>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</si>
  <si>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</si>
  <si>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</si>
  <si>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</si>
  <si>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</si>
  <si>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</si>
  <si>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</si>
  <si>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</si>
  <si>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</si>
  <si>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</si>
  <si>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</si>
  <si>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</si>
  <si>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</si>
  <si>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</si>
  <si>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</si>
  <si>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</si>
  <si>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</si>
  <si>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</si>
  <si>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</si>
  <si>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</si>
  <si>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</si>
  <si>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</si>
  <si>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</si>
  <si>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</si>
  <si>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</si>
  <si>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</si>
  <si>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</si>
  <si>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</si>
  <si>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</si>
  <si>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</si>
  <si>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</si>
  <si>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</si>
  <si>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</si>
  <si>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</si>
  <si>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</si>
  <si>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</si>
  <si>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</si>
  <si>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</si>
  <si>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</si>
  <si>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</si>
  <si>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</si>
  <si>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</si>
  <si>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</si>
  <si>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</si>
  <si>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</si>
  <si>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</si>
  <si>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</si>
  <si>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</si>
  <si>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</si>
  <si>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</si>
  <si>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</si>
  <si>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</si>
  <si>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</si>
  <si>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</si>
  <si>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</si>
  <si>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</si>
  <si>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</si>
  <si>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</si>
  <si>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</si>
  <si>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</si>
  <si>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</si>
  <si>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</si>
  <si>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</si>
  <si>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</si>
  <si>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</si>
  <si>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</si>
  <si>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</si>
  <si>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</si>
  <si>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</si>
  <si>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</si>
  <si>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</si>
  <si>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</si>
  <si>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</si>
  <si>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</si>
  <si>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</si>
  <si>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</si>
  <si>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</si>
  <si>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</si>
  <si>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</si>
  <si>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</si>
  <si>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</si>
  <si>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</si>
  <si>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</si>
  <si>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</si>
  <si>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</si>
  <si>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</si>
  <si>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</si>
  <si>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</si>
  <si>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</si>
  <si>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</si>
  <si>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</si>
  <si>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</si>
  <si>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</si>
  <si>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</si>
  <si>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</si>
  <si>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</si>
  <si>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</si>
  <si>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</si>
  <si>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</si>
  <si>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</si>
  <si>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</si>
  <si>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</si>
  <si>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</si>
  <si>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</si>
  <si>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</si>
  <si>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</si>
  <si>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</si>
  <si>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</si>
  <si>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</si>
  <si>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</si>
  <si>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</si>
  <si>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</si>
  <si>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</si>
  <si>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</si>
  <si>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</si>
  <si>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</si>
  <si>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</si>
  <si>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</si>
  <si>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</si>
  <si>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</si>
  <si>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</si>
  <si>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</si>
  <si>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</si>
  <si>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</si>
  <si>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</si>
  <si>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</si>
  <si>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</si>
  <si>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</si>
  <si>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</si>
  <si>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</si>
  <si>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</si>
  <si>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</si>
  <si>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</si>
  <si>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</si>
  <si>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</si>
  <si>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</si>
  <si>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</si>
  <si>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</si>
  <si>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</si>
  <si>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</si>
  <si>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</si>
  <si>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</si>
  <si>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</si>
  <si>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</si>
  <si>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</si>
  <si>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</si>
  <si>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</si>
  <si>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</si>
  <si>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</si>
  <si>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</si>
  <si>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</si>
  <si>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</si>
  <si>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</si>
  <si>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</si>
  <si>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</si>
  <si>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</si>
  <si>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</si>
  <si>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</si>
  <si>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</si>
  <si>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</si>
  <si>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</si>
  <si>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</si>
  <si>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</si>
  <si>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</si>
  <si>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</si>
  <si>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</si>
  <si>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</si>
  <si>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</si>
  <si>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</si>
  <si>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</si>
  <si>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</si>
  <si>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</si>
  <si>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</si>
  <si>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</si>
  <si>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</si>
  <si>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</si>
  <si>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</si>
  <si>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</si>
  <si>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</si>
  <si>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</si>
  <si>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</si>
  <si>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</si>
  <si>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</si>
  <si>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</si>
  <si>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</si>
  <si>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</si>
  <si>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</si>
  <si>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</si>
  <si>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</si>
  <si>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</si>
  <si>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</si>
  <si>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</si>
  <si>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</si>
  <si>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</si>
  <si>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</si>
  <si>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</si>
  <si>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</si>
  <si>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</si>
  <si>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</si>
  <si>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</si>
  <si>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</si>
  <si>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</si>
  <si>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</si>
  <si>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</si>
  <si>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</si>
  <si>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</si>
  <si>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</si>
  <si>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</si>
  <si>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</si>
  <si>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</si>
  <si>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</si>
  <si>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</si>
  <si>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</si>
  <si>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</si>
  <si>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</si>
  <si>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</si>
  <si>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</si>
  <si>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</si>
  <si>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</si>
  <si>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</si>
  <si>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</si>
  <si>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</si>
  <si>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</si>
  <si>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</si>
  <si>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</si>
  <si>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</si>
  <si>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</si>
  <si>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</si>
  <si>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</si>
  <si>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</si>
  <si>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</si>
  <si>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</si>
  <si>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</si>
  <si>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</si>
  <si>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</si>
  <si>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</si>
  <si>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</si>
  <si>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</si>
  <si>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</si>
  <si>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</si>
  <si>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</si>
  <si>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</si>
  <si>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</si>
  <si>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</si>
  <si>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</si>
  <si>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</si>
  <si>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</si>
  <si>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</si>
  <si>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</si>
  <si>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</si>
  <si>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</si>
  <si>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</si>
  <si>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</si>
  <si>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</si>
  <si>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</si>
  <si>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</si>
  <si>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</si>
  <si>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</si>
  <si>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</si>
  <si>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</si>
  <si>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</si>
  <si>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</si>
  <si>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</si>
  <si>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</si>
  <si>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</si>
  <si>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</si>
  <si>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</si>
  <si>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</si>
  <si>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</si>
  <si>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</si>
  <si>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</si>
  <si>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</si>
  <si>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</si>
  <si>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</si>
  <si>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</si>
  <si>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</si>
  <si>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</si>
  <si>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</si>
  <si>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</si>
  <si>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</si>
  <si>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</si>
  <si>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</si>
  <si>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</si>
  <si>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</si>
  <si>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</si>
  <si>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</si>
  <si>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</si>
  <si>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</si>
  <si>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</si>
  <si>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</si>
  <si>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</si>
  <si>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</si>
  <si>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</si>
  <si>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</si>
  <si>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</si>
  <si>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</si>
  <si>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</si>
  <si>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</si>
  <si>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</si>
  <si>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</si>
  <si>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</si>
  <si>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</si>
  <si>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</si>
  <si>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</si>
  <si>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</si>
  <si>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</si>
  <si>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</si>
  <si>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</si>
  <si>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</si>
  <si>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</si>
  <si>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</si>
  <si>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</si>
  <si>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</si>
  <si>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</si>
  <si>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</si>
  <si>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</si>
  <si>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</si>
  <si>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</si>
  <si>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</si>
  <si>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</si>
  <si>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</si>
  <si>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</si>
  <si>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</si>
  <si>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</si>
  <si>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</si>
  <si>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</si>
  <si>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</si>
  <si>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</si>
  <si>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</si>
  <si>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</si>
  <si>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</si>
  <si>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</si>
  <si>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</si>
  <si>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</si>
  <si>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</si>
  <si>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</si>
  <si>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</si>
  <si>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</si>
  <si>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</si>
  <si>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</si>
  <si>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</si>
  <si>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</si>
  <si>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</si>
  <si>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</si>
  <si>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</si>
  <si>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</si>
  <si>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</si>
  <si>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</si>
  <si>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</si>
  <si>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</si>
  <si>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</si>
  <si>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</si>
  <si>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</si>
  <si>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</si>
  <si>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</si>
  <si>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</si>
  <si>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</si>
  <si>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</si>
  <si>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</si>
  <si>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</si>
  <si>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</si>
  <si>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</si>
  <si>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</si>
  <si>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</si>
  <si>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</si>
  <si>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</si>
  <si>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</si>
  <si>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</si>
  <si>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</si>
  <si>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</si>
  <si>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</si>
  <si>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</si>
  <si>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</si>
  <si>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</si>
  <si>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</si>
  <si>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</si>
  <si>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</si>
  <si>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</si>
  <si>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</si>
  <si>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</si>
  <si>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</si>
  <si>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</si>
  <si>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</si>
  <si>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</si>
  <si>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</si>
  <si>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</si>
  <si>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</si>
  <si>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</si>
  <si>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</si>
  <si>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</si>
  <si>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</si>
  <si>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</si>
  <si>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</si>
  <si>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</si>
  <si>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</si>
  <si>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</si>
  <si>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</si>
  <si>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</si>
  <si>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</si>
  <si>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</si>
  <si>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</si>
  <si>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</si>
  <si>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</si>
  <si>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</si>
  <si>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</si>
  <si>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</si>
  <si>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</si>
  <si>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</si>
  <si>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</si>
  <si>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</si>
  <si>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</si>
  <si>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</si>
  <si>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</si>
  <si>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</si>
  <si>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</si>
  <si>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</si>
  <si>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</si>
  <si>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</si>
  <si>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</si>
  <si>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</si>
  <si>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</si>
  <si>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</si>
  <si>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</si>
  <si>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</si>
  <si>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</si>
  <si>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</si>
  <si>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</si>
  <si>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</si>
  <si>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</si>
  <si>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</si>
  <si>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</si>
  <si>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</si>
  <si>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</si>
  <si>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</si>
  <si>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</si>
  <si>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</si>
  <si>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</si>
  <si>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</si>
  <si>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</si>
  <si>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</si>
  <si>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</si>
  <si>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</si>
  <si>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</si>
  <si>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</si>
  <si>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</si>
  <si>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</si>
  <si>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</si>
  <si>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</si>
  <si>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</si>
  <si>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</si>
  <si>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</si>
  <si>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</si>
  <si>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</si>
  <si>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</si>
  <si>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</si>
  <si>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</si>
  <si>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</si>
  <si>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</si>
  <si>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</si>
  <si>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</si>
  <si>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</si>
  <si>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</si>
  <si>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</si>
  <si>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</si>
  <si>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</si>
  <si>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</si>
  <si>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</si>
  <si>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</si>
  <si>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</si>
  <si>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</si>
  <si>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</si>
  <si>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</si>
  <si>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</si>
  <si>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</si>
  <si>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</si>
  <si>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</si>
  <si>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</si>
  <si>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</si>
  <si>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</si>
  <si>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</si>
  <si>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</si>
  <si>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</si>
  <si>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</si>
  <si>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</si>
  <si>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</si>
  <si>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</si>
  <si>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</si>
  <si>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</si>
  <si>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</si>
  <si>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</si>
  <si>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</si>
  <si>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</si>
  <si>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</si>
  <si>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</si>
  <si>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</si>
  <si>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</si>
  <si>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</si>
  <si>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</si>
  <si>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</si>
  <si>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</si>
  <si>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</si>
  <si>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</si>
  <si>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</si>
  <si>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</si>
  <si>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</si>
  <si>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</si>
  <si>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</si>
  <si>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</si>
  <si>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</si>
  <si>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</si>
  <si>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</si>
  <si>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</si>
  <si>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</si>
  <si>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</si>
  <si>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</si>
  <si>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</si>
  <si>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</si>
  <si>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</si>
  <si>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</si>
  <si>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</si>
  <si>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</si>
  <si>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</si>
  <si>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</si>
  <si>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</si>
  <si>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</si>
  <si>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</si>
  <si>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</si>
  <si>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</si>
  <si>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</si>
  <si>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</si>
  <si>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</si>
  <si>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</si>
  <si>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</si>
  <si>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</si>
  <si>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</si>
  <si>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</si>
  <si>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</si>
  <si>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</si>
  <si>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</si>
  <si>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</si>
  <si>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</si>
  <si>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</si>
  <si>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</si>
  <si>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</si>
  <si>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</si>
  <si>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</si>
  <si>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</si>
  <si>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</si>
  <si>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</si>
  <si>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</si>
  <si>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</si>
  <si>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</si>
  <si>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</si>
  <si>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</si>
  <si>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</si>
  <si>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</si>
  <si>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</si>
  <si>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</si>
  <si>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</si>
  <si>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</si>
  <si>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</si>
  <si>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</si>
  <si>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</si>
  <si>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</si>
  <si>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</si>
  <si>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</si>
  <si>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</si>
  <si>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</si>
  <si>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</si>
  <si>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</si>
  <si>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</si>
  <si>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</si>
  <si>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</si>
  <si>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</si>
  <si>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</si>
  <si>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</si>
  <si>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</si>
  <si>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</si>
  <si>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</si>
  <si>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</si>
  <si>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</si>
  <si>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</si>
  <si>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</si>
  <si>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</si>
  <si>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</si>
  <si>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</si>
  <si>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</si>
  <si>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</si>
  <si>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</si>
  <si>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</si>
  <si>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</si>
  <si>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</si>
  <si>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</si>
  <si>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</si>
  <si>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</si>
  <si>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</si>
  <si>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</si>
  <si>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</si>
  <si>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</si>
  <si>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</si>
  <si>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</si>
  <si>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</si>
  <si>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</si>
  <si>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</si>
  <si>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</si>
  <si>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</si>
  <si>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</si>
  <si>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</si>
  <si>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</si>
  <si>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</si>
  <si>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</si>
  <si>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</si>
  <si>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</si>
  <si>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</si>
  <si>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</si>
  <si>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</si>
  <si>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</si>
  <si>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</si>
  <si>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</si>
  <si>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</si>
  <si>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</si>
  <si>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</si>
  <si>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</si>
  <si>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</si>
  <si>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</si>
  <si>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</si>
  <si>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</si>
  <si>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</si>
  <si>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</si>
  <si>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</si>
  <si>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</si>
  <si>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</si>
  <si>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</si>
  <si>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</si>
  <si>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</si>
  <si>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</si>
  <si>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</si>
  <si>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</si>
  <si>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</si>
  <si>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</si>
  <si>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</si>
  <si>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</si>
  <si>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</si>
  <si>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</si>
  <si>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</si>
  <si>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</si>
  <si>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</si>
  <si>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</si>
  <si>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</si>
  <si>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</si>
  <si>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</si>
  <si>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</si>
  <si>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</si>
  <si>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</si>
  <si>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</si>
  <si>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</si>
  <si>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</si>
  <si>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</si>
  <si>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</si>
  <si>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</si>
  <si>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</si>
  <si>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</si>
  <si>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</si>
  <si>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</si>
  <si>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</si>
  <si>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</si>
  <si>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</si>
  <si>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</si>
  <si>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</si>
  <si>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</si>
  <si>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</si>
  <si>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</si>
  <si>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</si>
  <si>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</si>
  <si>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</si>
  <si>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</si>
  <si>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</si>
  <si>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</si>
  <si>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</si>
  <si>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</si>
  <si>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</si>
  <si>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</si>
  <si>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</si>
  <si>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</si>
  <si>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</si>
  <si>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</si>
  <si>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</si>
  <si>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</si>
  <si>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</si>
  <si>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</si>
  <si>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</si>
  <si>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</si>
  <si>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</si>
  <si>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</si>
  <si>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</si>
  <si>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</si>
  <si>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</si>
  <si>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</si>
  <si>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</si>
  <si>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</si>
  <si>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</si>
  <si>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</si>
  <si>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</si>
  <si>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</si>
  <si>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</si>
  <si>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</si>
  <si>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</si>
  <si>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</si>
  <si>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</si>
  <si>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</si>
  <si>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</si>
  <si>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</si>
  <si>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</si>
  <si>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</si>
  <si>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</si>
  <si>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</si>
  <si>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</si>
  <si>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</si>
  <si>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</si>
  <si>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</si>
  <si>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</si>
  <si>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</si>
  <si>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</si>
  <si>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</si>
  <si>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</si>
  <si>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</si>
  <si>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</si>
  <si>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</si>
  <si>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</si>
  <si>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</si>
  <si>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</si>
  <si>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</si>
  <si>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</si>
  <si>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</si>
  <si>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</si>
  <si>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</si>
  <si>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</si>
  <si>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</si>
  <si>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</si>
  <si>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</si>
  <si>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</si>
  <si>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</si>
  <si>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</si>
  <si>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</si>
  <si>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</si>
  <si>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</si>
  <si>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</si>
  <si>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</si>
  <si>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</si>
  <si>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</si>
  <si>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</si>
  <si>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</si>
  <si>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</si>
  <si>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</si>
  <si>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</si>
  <si>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</si>
  <si>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</si>
  <si>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</si>
  <si>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</si>
  <si>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</si>
  <si>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</si>
  <si>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</si>
  <si>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</si>
  <si>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</si>
  <si>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</si>
  <si>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</si>
  <si>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</si>
  <si>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</si>
  <si>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</si>
  <si>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</si>
  <si>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</si>
  <si>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</si>
  <si>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</si>
  <si>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</si>
  <si>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</si>
  <si>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</si>
  <si>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</si>
  <si>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</si>
  <si>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</si>
  <si>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</si>
  <si>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</si>
  <si>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</si>
  <si>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</si>
  <si>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</si>
  <si>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</si>
  <si>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</si>
  <si>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</si>
  <si>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</si>
  <si>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</si>
  <si>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</si>
  <si>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</si>
  <si>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</si>
  <si>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</si>
  <si>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</si>
  <si>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</si>
  <si>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</si>
  <si>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</si>
  <si>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</si>
  <si>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</si>
  <si>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</si>
  <si>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</si>
  <si>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</si>
  <si>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</si>
  <si>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</si>
  <si>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</si>
  <si>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</si>
  <si>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</si>
  <si>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</si>
  <si>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</si>
  <si>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</si>
  <si>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</si>
  <si>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</si>
  <si>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</si>
  <si>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</si>
  <si>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</si>
  <si>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</si>
  <si>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</si>
  <si>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</si>
  <si>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</si>
  <si>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</si>
  <si>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</si>
  <si>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</si>
  <si>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</si>
  <si>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</si>
  <si>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</si>
  <si>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</si>
  <si>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</si>
  <si>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</si>
  <si>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</si>
  <si>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</si>
  <si>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</si>
  <si>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</si>
  <si>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</si>
  <si>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</si>
  <si>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</si>
  <si>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</si>
  <si>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</si>
  <si>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</si>
  <si>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</si>
  <si>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</si>
  <si>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</si>
  <si>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</si>
  <si>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</si>
  <si>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</si>
  <si>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</si>
  <si>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</si>
  <si>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</si>
  <si>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</si>
  <si>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</si>
  <si>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</si>
  <si>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</si>
  <si>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</si>
  <si>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</si>
  <si>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</si>
  <si>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</si>
  <si>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</si>
  <si>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</si>
  <si>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</si>
  <si>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</si>
  <si>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</si>
  <si>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</si>
  <si>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</si>
  <si>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</si>
  <si>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</si>
  <si>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</si>
  <si>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</si>
  <si>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</si>
  <si>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</si>
  <si>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</si>
  <si>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</si>
  <si>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</si>
  <si>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</si>
  <si>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</si>
  <si>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</si>
  <si>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</si>
  <si>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</si>
  <si>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</si>
  <si>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</si>
  <si>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</si>
  <si>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</si>
  <si>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</si>
  <si>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</si>
  <si>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</si>
  <si>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</si>
  <si>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</si>
  <si>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</si>
  <si>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</si>
  <si>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</si>
  <si>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</si>
  <si>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</si>
  <si>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</si>
  <si>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</si>
  <si>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</si>
  <si>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</si>
  <si>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</si>
  <si>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</si>
  <si>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</si>
  <si>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</si>
  <si>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</si>
  <si>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</si>
  <si>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</si>
  <si>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</si>
  <si>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</si>
  <si>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</si>
  <si>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</si>
  <si>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</si>
  <si>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</si>
  <si>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</si>
  <si>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</si>
  <si>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</si>
  <si>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</si>
  <si>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</si>
  <si>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</si>
  <si>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</si>
  <si>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</si>
  <si>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</si>
  <si>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</si>
  <si>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</si>
  <si>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</si>
  <si>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</si>
  <si>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</si>
  <si>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</si>
  <si>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</si>
  <si>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</si>
  <si>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</si>
  <si>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</si>
  <si>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</si>
  <si>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</si>
  <si>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</si>
  <si>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</si>
  <si>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</si>
  <si>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</si>
  <si>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</si>
  <si>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</si>
  <si>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</si>
  <si>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</si>
  <si>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</si>
  <si>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</si>
  <si>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</si>
  <si>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</si>
  <si>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</si>
  <si>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</si>
  <si>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</si>
  <si>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</si>
  <si>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</si>
  <si>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</si>
  <si>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</si>
  <si>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</si>
  <si>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</si>
  <si>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</si>
  <si>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</si>
  <si>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</si>
  <si>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</si>
  <si>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</si>
  <si>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</si>
  <si>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</si>
  <si>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</si>
  <si>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</si>
  <si>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</si>
  <si>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</si>
  <si>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</si>
  <si>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</si>
  <si>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</si>
  <si>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</si>
  <si>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</si>
  <si>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</si>
  <si>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</si>
  <si>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</si>
  <si>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</si>
  <si>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</si>
  <si>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</si>
  <si>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</si>
  <si>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</si>
  <si>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</si>
  <si>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</si>
  <si>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</si>
  <si>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</si>
  <si>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</si>
  <si>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</si>
  <si>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</si>
  <si>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</si>
  <si>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</si>
  <si>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</si>
  <si>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</si>
  <si>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</si>
  <si>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</si>
  <si>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</si>
  <si>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</si>
  <si>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</si>
  <si>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</si>
  <si>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</si>
  <si>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</si>
  <si>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</si>
  <si>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</si>
  <si>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</si>
  <si>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</si>
  <si>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</si>
  <si>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</si>
  <si>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</si>
  <si>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</si>
  <si>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</si>
  <si>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</si>
  <si>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</si>
  <si>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</si>
  <si>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</si>
  <si>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</si>
  <si>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</si>
  <si>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</si>
  <si>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</si>
  <si>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</si>
  <si>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</si>
  <si>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</si>
  <si>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</si>
  <si>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</si>
  <si>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</si>
  <si>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</si>
  <si>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</si>
  <si>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</si>
  <si>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</si>
  <si>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</si>
  <si>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</si>
  <si>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</si>
  <si>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</si>
  <si>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</si>
  <si>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</si>
  <si>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</si>
  <si>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</si>
  <si>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</si>
  <si>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</si>
  <si>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</si>
  <si>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</si>
  <si>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</si>
  <si>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</si>
  <si>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</si>
  <si>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</si>
  <si>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</si>
  <si>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</si>
  <si>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</si>
  <si>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</si>
  <si>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</si>
  <si>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</si>
  <si>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</si>
  <si>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</si>
  <si>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</si>
  <si>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</si>
  <si>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</si>
  <si>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</si>
  <si>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</si>
  <si>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</si>
  <si>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</si>
  <si>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</si>
  <si>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</si>
  <si>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</si>
  <si>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</si>
  <si>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</si>
  <si>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</si>
  <si>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</si>
  <si>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</si>
  <si>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</si>
  <si>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</si>
  <si>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</si>
  <si>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</si>
  <si>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</si>
  <si>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</si>
  <si>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</si>
  <si>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</si>
  <si>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</si>
  <si>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</si>
  <si>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</si>
  <si>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</si>
  <si>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</si>
  <si>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</si>
  <si>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</si>
  <si>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</si>
  <si>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</si>
  <si>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</si>
  <si>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</si>
  <si>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</si>
  <si>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</si>
  <si>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</si>
  <si>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</si>
  <si>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</si>
  <si>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</si>
  <si>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</si>
  <si>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</si>
  <si>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</si>
  <si>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</si>
  <si>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</si>
  <si>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</si>
  <si>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</si>
  <si>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</si>
  <si>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</si>
  <si>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</si>
  <si>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</si>
  <si>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</si>
  <si>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</si>
  <si>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</si>
  <si>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</si>
  <si>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</si>
  <si>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</si>
  <si>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</si>
  <si>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</si>
  <si>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</si>
  <si>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</si>
  <si>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</si>
  <si>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</si>
  <si>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</si>
  <si>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</si>
  <si>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</si>
  <si>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</si>
  <si>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</si>
  <si>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</si>
  <si>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</si>
  <si>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</si>
  <si>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</si>
  <si>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</si>
  <si>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</si>
  <si>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</si>
  <si>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</si>
  <si>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</si>
  <si>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</si>
  <si>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</si>
  <si>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</si>
  <si>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</si>
  <si>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</si>
  <si>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</si>
  <si>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</si>
  <si>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</si>
  <si>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</si>
  <si>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</si>
  <si>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</si>
  <si>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</si>
  <si>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</si>
  <si>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</si>
  <si>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</si>
  <si>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</si>
  <si>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</si>
  <si>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</si>
  <si>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</si>
  <si>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</si>
  <si>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</si>
  <si>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</si>
  <si>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</si>
  <si>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</si>
  <si>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</si>
  <si>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</si>
  <si>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</si>
  <si>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</si>
  <si>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</si>
  <si>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</si>
  <si>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</si>
  <si>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</si>
  <si>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</si>
  <si>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</si>
  <si>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</si>
  <si>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</si>
  <si>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</si>
  <si>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</si>
  <si>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</si>
  <si>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</si>
  <si>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</si>
  <si>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</si>
  <si>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</si>
  <si>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</si>
  <si>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</si>
  <si>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</si>
  <si>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</si>
  <si>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</si>
  <si>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</si>
  <si>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</si>
  <si>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</si>
  <si>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</si>
  <si>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</si>
  <si>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</si>
  <si>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</si>
  <si>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</si>
  <si>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</si>
  <si>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</si>
  <si>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</si>
  <si>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</si>
  <si>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</si>
  <si>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</si>
  <si>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</si>
  <si>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</si>
  <si>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</si>
  <si>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</si>
  <si>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</si>
  <si>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</si>
  <si>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</si>
  <si>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</si>
  <si>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</si>
  <si>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</si>
  <si>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</si>
  <si>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</si>
  <si>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</si>
  <si>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</si>
  <si>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</si>
  <si>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</si>
  <si>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</si>
  <si>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</si>
  <si>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</si>
  <si>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</si>
  <si>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</si>
  <si>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</si>
  <si>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</si>
  <si>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</si>
  <si>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</si>
  <si>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</si>
  <si>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</si>
  <si>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</si>
  <si>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</si>
  <si>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</si>
  <si>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</si>
  <si>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</si>
  <si>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</si>
  <si>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</si>
  <si>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</si>
  <si>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</si>
  <si>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</si>
  <si>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</si>
  <si>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</si>
  <si>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</si>
  <si>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</si>
  <si>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</si>
  <si>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</si>
  <si>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</si>
  <si>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</si>
  <si>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</si>
  <si>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</si>
  <si>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</si>
  <si>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</si>
  <si>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</si>
  <si>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</si>
  <si>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</si>
  <si>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</si>
  <si>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</si>
  <si>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</si>
  <si>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</si>
  <si>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</si>
  <si>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</si>
  <si>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</si>
  <si>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</si>
  <si>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</si>
  <si>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</si>
  <si>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</si>
  <si>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</si>
  <si>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</si>
  <si>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</si>
  <si>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</si>
  <si>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</si>
  <si>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</si>
  <si>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</si>
  <si>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</si>
  <si>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</si>
  <si>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</si>
  <si>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</si>
  <si>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</si>
  <si>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</si>
  <si>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</si>
  <si>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</si>
  <si>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</si>
  <si>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</si>
  <si>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</si>
  <si>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</si>
  <si>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</si>
  <si>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</si>
  <si>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</si>
  <si>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</si>
  <si>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</si>
  <si>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</si>
  <si>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</si>
  <si>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</si>
  <si>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</si>
  <si>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</si>
  <si>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</si>
  <si>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</si>
  <si>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</si>
  <si>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</si>
  <si>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</si>
  <si>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</si>
  <si>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</si>
  <si>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</si>
  <si>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</si>
  <si>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</si>
  <si>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</si>
  <si>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</si>
  <si>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</si>
  <si>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</si>
  <si>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</si>
  <si>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</si>
  <si>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</si>
  <si>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</si>
  <si>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</si>
  <si>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</si>
  <si>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</si>
  <si>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</si>
  <si>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</si>
  <si>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</si>
  <si>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</si>
  <si>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</si>
  <si>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</si>
  <si>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</si>
  <si>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</si>
  <si>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</si>
  <si>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</si>
  <si>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</si>
  <si>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</si>
  <si>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</si>
  <si>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</si>
  <si>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</si>
  <si>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</si>
  <si>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</si>
  <si>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</si>
  <si>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</si>
  <si>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</si>
  <si>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</si>
  <si>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</si>
  <si>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</si>
  <si>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</si>
  <si>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</si>
  <si>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</si>
  <si>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</si>
  <si>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</si>
  <si>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</si>
  <si>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</si>
  <si>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</si>
  <si>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</si>
  <si>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</si>
  <si>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</si>
  <si>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</si>
  <si>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</si>
  <si>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</si>
  <si>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</si>
  <si>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</si>
  <si>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</si>
  <si>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</si>
  <si>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</si>
  <si>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</si>
  <si>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</si>
  <si>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</si>
  <si>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</si>
  <si>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</si>
  <si>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</si>
  <si>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</si>
  <si>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</si>
  <si>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</si>
  <si>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</si>
  <si>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</si>
  <si>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</si>
  <si>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</si>
  <si>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</si>
  <si>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</si>
  <si>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</si>
  <si>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</si>
  <si>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</si>
  <si>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</si>
  <si>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</si>
  <si>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</si>
  <si>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</si>
  <si>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</si>
  <si>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</si>
  <si>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</si>
  <si>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</si>
  <si>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</si>
  <si>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</si>
  <si>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</si>
  <si>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</si>
  <si>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</si>
  <si>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</si>
  <si>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</si>
  <si>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</si>
  <si>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</si>
  <si>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</si>
  <si>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</si>
  <si>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</si>
  <si>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</si>
  <si>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</si>
  <si>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</si>
  <si>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</si>
  <si>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</si>
  <si>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</si>
  <si>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</si>
  <si>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</si>
  <si>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</si>
  <si>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</si>
  <si>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</si>
  <si>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</si>
  <si>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</si>
  <si>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</si>
  <si>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</si>
  <si>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</si>
  <si>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</si>
  <si>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</si>
  <si>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</si>
  <si>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</si>
  <si>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</si>
  <si>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</si>
  <si>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</si>
  <si>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</si>
  <si>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</si>
  <si>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</si>
  <si>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</si>
  <si>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</si>
  <si>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</si>
  <si>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</si>
  <si>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</si>
  <si>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</si>
  <si>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</si>
  <si>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</si>
  <si>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</si>
  <si>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</si>
  <si>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</si>
  <si>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</si>
  <si>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</si>
  <si>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</si>
  <si>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</si>
  <si>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</si>
  <si>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</si>
  <si>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</si>
  <si>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</si>
  <si>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</si>
  <si>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</si>
  <si>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</si>
  <si>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</si>
  <si>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</si>
  <si>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</si>
  <si>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</si>
  <si>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</si>
  <si>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</si>
  <si>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</si>
  <si>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</si>
  <si>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</si>
  <si>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</si>
  <si>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</si>
  <si>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</si>
  <si>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</si>
  <si>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</si>
  <si>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</si>
  <si>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</si>
  <si>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</si>
  <si>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</si>
  <si>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</si>
  <si>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</si>
  <si>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</si>
  <si>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</si>
  <si>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</si>
  <si>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</si>
  <si>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</si>
  <si>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</si>
  <si>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</si>
  <si>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</si>
  <si>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</si>
  <si>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</si>
  <si>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</si>
  <si>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</si>
  <si>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</si>
  <si>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</si>
  <si>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</si>
  <si>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</si>
  <si>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</si>
  <si>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</si>
  <si>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</si>
  <si>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</si>
  <si>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</si>
  <si>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</si>
  <si>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</si>
  <si>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</si>
  <si>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</si>
  <si>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</si>
  <si>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</si>
  <si>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</si>
  <si>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</si>
  <si>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</si>
  <si>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</si>
  <si>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</si>
  <si>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</si>
  <si>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</si>
  <si>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</si>
  <si>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</si>
  <si>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</si>
  <si>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</si>
  <si>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</si>
  <si>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</si>
  <si>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</si>
  <si>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</si>
  <si>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</si>
  <si>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</si>
  <si>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</si>
  <si>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</si>
  <si>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</si>
  <si>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</si>
  <si>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</si>
  <si>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</si>
  <si>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</si>
  <si>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</si>
  <si>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</si>
  <si>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</si>
  <si>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</si>
  <si>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</si>
  <si>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</si>
  <si>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</si>
  <si>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</si>
  <si>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</si>
  <si>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</si>
  <si>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</si>
  <si>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</si>
  <si>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</si>
  <si>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</si>
  <si>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</si>
  <si>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</si>
  <si>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</si>
  <si>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</si>
  <si>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</si>
  <si>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</si>
  <si>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</si>
  <si>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</si>
  <si>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</si>
  <si>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</si>
  <si>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</si>
  <si>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</si>
  <si>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</si>
  <si>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</si>
  <si>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</si>
  <si>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</si>
  <si>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</si>
  <si>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</si>
  <si>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</si>
  <si>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</si>
  <si>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</si>
  <si>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</si>
  <si>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</si>
  <si>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</si>
  <si>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</si>
  <si>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</si>
  <si>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</si>
  <si>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</si>
  <si>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</si>
  <si>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</si>
  <si>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</si>
  <si>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</si>
  <si>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</si>
  <si>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</si>
  <si>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</si>
  <si>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</si>
  <si>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</si>
  <si>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</si>
  <si>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</si>
  <si>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</si>
  <si>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</si>
  <si>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</si>
  <si>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</si>
  <si>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</si>
  <si>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</si>
  <si>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</si>
  <si>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</si>
  <si>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</si>
  <si>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</si>
  <si>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</si>
  <si>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</si>
  <si>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</si>
  <si>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</si>
  <si>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</si>
  <si>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</si>
  <si>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</si>
  <si>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</si>
  <si>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</si>
  <si>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</si>
  <si>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</si>
  <si>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</si>
  <si>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</si>
  <si>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</si>
  <si>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</si>
  <si>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</si>
  <si>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</si>
  <si>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</si>
  <si>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</si>
  <si>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</si>
  <si>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</si>
  <si>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</si>
  <si>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</si>
  <si>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</si>
  <si>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</si>
  <si>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</si>
  <si>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</si>
  <si>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</si>
  <si>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</si>
  <si>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</si>
  <si>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</si>
  <si>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</si>
  <si>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</si>
  <si>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</si>
  <si>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</si>
  <si>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</si>
  <si>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</si>
  <si>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</si>
  <si>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</si>
  <si>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</si>
  <si>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</si>
  <si>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</si>
  <si>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</si>
  <si>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</si>
  <si>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</si>
  <si>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</si>
  <si>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</si>
  <si>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</si>
  <si>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</si>
  <si>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</si>
  <si>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</si>
  <si>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</si>
  <si>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</si>
  <si>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</si>
  <si>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</si>
  <si>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</si>
  <si>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</si>
  <si>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</si>
  <si>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</si>
  <si>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</si>
  <si>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</si>
  <si>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</si>
  <si>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</si>
  <si>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</si>
  <si>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</si>
  <si>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</si>
  <si>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</si>
  <si>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</si>
  <si>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</si>
  <si>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</si>
  <si>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</si>
  <si>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</si>
  <si>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</si>
  <si>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</si>
  <si>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</si>
  <si>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</si>
  <si>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</si>
  <si>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</si>
  <si>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</si>
  <si>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</si>
  <si>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</si>
  <si>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</si>
  <si>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</si>
  <si>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</si>
  <si>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</si>
  <si>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</si>
  <si>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</si>
  <si>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</si>
  <si>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</si>
  <si>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</si>
  <si>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</si>
  <si>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</si>
  <si>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</si>
  <si>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</si>
  <si>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</si>
  <si>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</si>
  <si>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</si>
  <si>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</si>
  <si>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</si>
  <si>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</si>
  <si>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</si>
  <si>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</si>
  <si>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</si>
  <si>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</si>
  <si>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</si>
  <si>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</si>
  <si>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</si>
  <si>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</si>
  <si>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</si>
  <si>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</si>
  <si>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</si>
  <si>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</si>
  <si>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</si>
  <si>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</si>
  <si>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</si>
  <si>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</si>
  <si>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</si>
  <si>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</si>
  <si>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</si>
  <si>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</si>
  <si>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</si>
  <si>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</si>
  <si>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</si>
  <si>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</si>
  <si>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</si>
  <si>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</si>
  <si>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</si>
  <si>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</si>
  <si>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</si>
  <si>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</si>
  <si>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</si>
  <si>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</si>
  <si>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</si>
  <si>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</si>
  <si>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</si>
  <si>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</si>
  <si>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</si>
  <si>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</si>
  <si>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</si>
  <si>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</si>
  <si>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</si>
  <si>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</si>
  <si>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</si>
  <si>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</si>
  <si>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</si>
  <si>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</si>
  <si>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</si>
  <si>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</si>
  <si>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</si>
  <si>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</si>
  <si>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</si>
  <si>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</si>
  <si>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</si>
  <si>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</si>
  <si>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</si>
  <si>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</si>
  <si>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</si>
  <si>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</si>
  <si>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</si>
  <si>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</si>
  <si>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</si>
  <si>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</si>
  <si>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</si>
  <si>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</si>
  <si>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</si>
  <si>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</si>
  <si>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</si>
  <si>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</si>
  <si>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</si>
  <si>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</si>
  <si>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</si>
  <si>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</si>
  <si>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</si>
  <si>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</si>
  <si>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</si>
  <si>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</si>
  <si>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</si>
  <si>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</si>
  <si>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</si>
  <si>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</si>
  <si>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</si>
  <si>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</si>
  <si>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</si>
  <si>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</si>
  <si>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</si>
  <si>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</si>
  <si>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</si>
  <si>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</si>
  <si>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</si>
  <si>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</si>
  <si>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</si>
  <si>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</si>
  <si>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</si>
  <si>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</si>
  <si>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</si>
  <si>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</si>
  <si>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</si>
  <si>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</si>
  <si>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</si>
  <si>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</si>
  <si>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</si>
  <si>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</si>
  <si>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</si>
  <si>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</si>
  <si>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</si>
  <si>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</si>
  <si>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</si>
  <si>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</si>
  <si>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</si>
  <si>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</si>
  <si>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</si>
  <si>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</si>
  <si>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</si>
  <si>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</si>
  <si>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</si>
  <si>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</si>
  <si>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</si>
  <si>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</si>
  <si>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</si>
  <si>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</si>
  <si>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</si>
  <si>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</si>
  <si>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</si>
  <si>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</si>
  <si>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</si>
  <si>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</si>
  <si>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</si>
  <si>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</si>
  <si>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</si>
  <si>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</si>
  <si>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</si>
  <si>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</si>
  <si>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</si>
  <si>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</si>
  <si>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</si>
  <si>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</si>
  <si>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</si>
  <si>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</si>
  <si>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</si>
  <si>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</si>
  <si>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</si>
  <si>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</si>
  <si>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</si>
  <si>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</si>
  <si>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</si>
  <si>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</si>
  <si>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</si>
  <si>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</si>
  <si>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</si>
  <si>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</si>
  <si>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</si>
  <si>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</si>
  <si>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</si>
  <si>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</si>
  <si>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</si>
  <si>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</si>
  <si>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</si>
  <si>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</si>
  <si>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</si>
  <si>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</si>
  <si>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</si>
  <si>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</si>
  <si>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</si>
  <si>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</si>
  <si>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</si>
  <si>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</si>
  <si>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</si>
  <si>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</si>
  <si>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</si>
  <si>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</si>
  <si>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</si>
  <si>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</si>
  <si>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</si>
  <si>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</si>
  <si>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</si>
  <si>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</si>
  <si>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</si>
  <si>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</si>
  <si>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</si>
  <si>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</si>
  <si>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</si>
  <si>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</si>
  <si>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</si>
  <si>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</si>
  <si>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</si>
  <si>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</si>
  <si>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</si>
  <si>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</si>
  <si>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</si>
  <si>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</si>
  <si>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</si>
  <si>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</si>
  <si>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</si>
  <si>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</si>
  <si>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</si>
  <si>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</si>
  <si>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</si>
  <si>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</si>
  <si>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</si>
  <si>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</si>
  <si>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</si>
  <si>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</si>
  <si>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</si>
  <si>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</si>
  <si>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</si>
  <si>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</si>
  <si>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</si>
  <si>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</si>
  <si>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</si>
  <si>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</si>
  <si>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</si>
  <si>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</si>
  <si>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</si>
  <si>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</si>
  <si>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</si>
  <si>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</si>
  <si>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</si>
  <si>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</si>
  <si>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</si>
  <si>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</si>
  <si>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</si>
  <si>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</si>
  <si>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</si>
  <si>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</si>
  <si>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</si>
  <si>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</si>
  <si>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</si>
  <si>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</si>
  <si>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</si>
  <si>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</si>
  <si>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</si>
  <si>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</si>
  <si>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</si>
  <si>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</si>
  <si>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</si>
  <si>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</si>
  <si>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</si>
  <si>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</si>
  <si>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</si>
  <si>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</si>
  <si>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</si>
  <si>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</si>
  <si>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</si>
  <si>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</si>
  <si>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</si>
  <si>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</si>
  <si>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</si>
  <si>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</si>
  <si>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</si>
  <si>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</si>
  <si>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</si>
  <si>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</si>
  <si>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</si>
  <si>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</si>
  <si>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</si>
  <si>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</si>
  <si>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</si>
  <si>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</si>
  <si>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</si>
  <si>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</si>
  <si>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</si>
  <si>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</si>
  <si>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</si>
  <si>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</si>
  <si>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</si>
  <si>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</si>
  <si>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</si>
  <si>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</si>
  <si>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</si>
  <si>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</si>
  <si>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</si>
  <si>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</si>
  <si>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</si>
  <si>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</si>
  <si>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</si>
  <si>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</si>
  <si>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</si>
  <si>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</si>
  <si>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</si>
  <si>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</si>
  <si>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</si>
  <si>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</si>
  <si>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</si>
  <si>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</si>
  <si>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</si>
  <si>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</si>
  <si>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</si>
  <si>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</si>
  <si>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</si>
  <si>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</si>
  <si>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</si>
  <si>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</si>
  <si>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</si>
  <si>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</si>
  <si>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</si>
  <si>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</si>
  <si>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</si>
  <si>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</si>
  <si>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</si>
  <si>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</si>
  <si>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</si>
  <si>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</si>
  <si>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</si>
  <si>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</si>
  <si>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</si>
  <si>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</si>
  <si>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</si>
  <si>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</si>
  <si>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</si>
  <si>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</si>
  <si>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</si>
  <si>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</si>
  <si>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</si>
  <si>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</si>
  <si>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</si>
  <si>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</si>
  <si>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</si>
  <si>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</si>
  <si>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</si>
  <si>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</si>
  <si>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</si>
  <si>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</si>
  <si>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</si>
  <si>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</si>
  <si>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</si>
  <si>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</si>
  <si>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</si>
  <si>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</si>
  <si>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</si>
  <si>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</si>
  <si>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</si>
  <si>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</si>
  <si>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</si>
  <si>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</si>
  <si>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</si>
  <si>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</si>
  <si>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</si>
  <si>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</si>
  <si>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</si>
  <si>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</si>
  <si>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</si>
  <si>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</si>
  <si>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</si>
  <si>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</si>
  <si>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</si>
  <si>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</si>
  <si>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</si>
  <si>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</si>
  <si>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</si>
  <si>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</si>
  <si>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</si>
  <si>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</si>
  <si>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</si>
  <si>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</si>
  <si>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</si>
  <si>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</si>
  <si>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</si>
  <si>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</si>
  <si>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</si>
  <si>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</si>
  <si>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</si>
  <si>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</si>
  <si>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</si>
  <si>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</si>
  <si>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</si>
  <si>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</si>
  <si>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</si>
  <si>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</si>
  <si>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</si>
  <si>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</si>
  <si>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</si>
  <si>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</si>
  <si>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</si>
  <si>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</si>
  <si>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</si>
  <si>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</si>
  <si>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</si>
  <si>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</si>
  <si>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</si>
  <si>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</si>
  <si>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</si>
  <si>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</si>
  <si>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</si>
  <si>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</si>
  <si>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</si>
  <si>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</si>
  <si>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</si>
  <si>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</si>
  <si>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</si>
  <si>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</si>
  <si>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</si>
  <si>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</si>
  <si>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</si>
  <si>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</si>
  <si>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</si>
  <si>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</si>
  <si>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</si>
  <si>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</si>
  <si>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</si>
  <si>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</si>
  <si>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</si>
  <si>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</si>
  <si>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</si>
  <si>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</si>
  <si>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</si>
  <si>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</si>
  <si>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</si>
  <si>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</si>
  <si>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</si>
  <si>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</si>
  <si>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</si>
  <si>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</si>
  <si>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</si>
  <si>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</si>
  <si>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</si>
  <si>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</si>
  <si>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</si>
  <si>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</si>
  <si>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</si>
  <si>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</si>
  <si>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</si>
  <si>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</si>
  <si>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</si>
  <si>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</si>
  <si>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</si>
  <si>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</si>
  <si>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</si>
  <si>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</si>
  <si>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</si>
  <si>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</si>
  <si>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</si>
  <si>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</si>
  <si>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</si>
  <si>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</si>
  <si>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</si>
  <si>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</si>
  <si>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</si>
  <si>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</si>
  <si>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</si>
  <si>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</si>
  <si>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</si>
  <si>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</si>
  <si>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</si>
  <si>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</si>
  <si>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</si>
  <si>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</si>
  <si>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</si>
  <si>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</si>
  <si>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</si>
  <si>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</si>
  <si>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</si>
  <si>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</si>
  <si>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</si>
  <si>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</si>
  <si>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</si>
  <si>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</si>
  <si>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</si>
  <si>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</si>
  <si>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</si>
  <si>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</si>
  <si>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</si>
  <si>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</si>
  <si>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</si>
  <si>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</si>
  <si>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</si>
  <si>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</si>
  <si>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</si>
  <si>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</si>
  <si>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</si>
  <si>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</si>
  <si>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</si>
  <si>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</si>
  <si>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</si>
  <si>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</si>
  <si>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</si>
  <si>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</si>
  <si>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</si>
  <si>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</si>
  <si>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</si>
  <si>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</si>
  <si>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</si>
  <si>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</si>
  <si>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</si>
  <si>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</si>
  <si>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</si>
  <si>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</si>
  <si>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</si>
  <si>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</si>
  <si>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</si>
  <si>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</si>
  <si>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</si>
  <si>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</si>
  <si>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</si>
  <si>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</si>
  <si>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</si>
  <si>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</si>
  <si>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</si>
  <si>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</si>
  <si>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</si>
  <si>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</si>
  <si>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</si>
  <si>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</si>
  <si>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</si>
  <si>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</si>
  <si>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</si>
  <si>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</si>
  <si>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</si>
  <si>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</si>
  <si>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</si>
  <si>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</si>
  <si>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</si>
  <si>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</si>
  <si>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</si>
  <si>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</si>
  <si>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</si>
  <si>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</si>
  <si>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</si>
  <si>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</si>
  <si>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</si>
  <si>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</si>
  <si>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</si>
  <si>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</si>
  <si>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</si>
  <si>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</si>
  <si>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</si>
  <si>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</si>
  <si>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</si>
  <si>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</si>
  <si>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</si>
  <si>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</si>
  <si>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</si>
  <si>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</si>
  <si>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</si>
  <si>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</si>
  <si>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</si>
  <si>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</si>
  <si>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</si>
  <si>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</si>
  <si>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</si>
  <si>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</si>
  <si>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</si>
  <si>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</si>
  <si>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</si>
  <si>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</si>
  <si>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</si>
  <si>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</si>
  <si>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</si>
  <si>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</si>
  <si>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</si>
  <si>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</si>
  <si>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</si>
  <si>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</si>
  <si>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</si>
  <si>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</si>
  <si>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</si>
  <si>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</si>
  <si>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</si>
  <si>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</si>
  <si>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</si>
  <si>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</si>
  <si>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</si>
  <si>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</si>
  <si>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</si>
  <si>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</si>
  <si>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</si>
  <si>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</si>
  <si>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</si>
  <si>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</si>
  <si>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</si>
  <si>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</si>
  <si>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</si>
  <si>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</si>
  <si>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</si>
  <si>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</si>
  <si>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</si>
  <si>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</si>
  <si>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</si>
  <si>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</si>
  <si>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</si>
  <si>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</si>
  <si>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</si>
  <si>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</si>
  <si>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</si>
  <si>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</si>
  <si>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</si>
  <si>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</si>
  <si>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</si>
  <si>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</si>
  <si>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</si>
  <si>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</si>
  <si>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</si>
  <si>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</si>
  <si>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</si>
  <si>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</si>
  <si>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</si>
  <si>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</si>
  <si>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</si>
  <si>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</si>
  <si>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</si>
  <si>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</si>
  <si>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</si>
  <si>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</si>
  <si>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</si>
  <si>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</si>
  <si>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</si>
  <si>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</si>
  <si>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</si>
  <si>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</si>
  <si>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</si>
  <si>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</si>
  <si>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</si>
  <si>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</si>
  <si>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</si>
  <si>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</si>
  <si>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</si>
  <si>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</si>
  <si>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</si>
  <si>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</si>
  <si>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</si>
  <si>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</si>
  <si>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</si>
  <si>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</si>
  <si>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</si>
  <si>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</si>
  <si>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</si>
  <si>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</si>
  <si>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</si>
  <si>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</si>
  <si>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</si>
  <si>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</si>
  <si>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</si>
  <si>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</si>
  <si>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</si>
  <si>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</si>
  <si>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</si>
  <si>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</si>
  <si>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</si>
  <si>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</si>
  <si>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</si>
  <si>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</si>
  <si>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</si>
  <si>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</si>
  <si>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</si>
  <si>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</si>
  <si>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</si>
  <si>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</si>
  <si>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</si>
  <si>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</si>
  <si>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</si>
  <si>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</si>
  <si>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</si>
  <si>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</si>
  <si>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</si>
  <si>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</si>
  <si>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</si>
  <si>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</si>
  <si>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</si>
  <si>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</si>
  <si>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</si>
  <si>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</si>
  <si>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</si>
  <si>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</si>
  <si>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</si>
  <si>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</si>
  <si>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</si>
  <si>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</si>
  <si>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</si>
  <si>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</si>
  <si>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</si>
  <si>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</si>
  <si>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</si>
  <si>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</si>
  <si>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</si>
  <si>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</si>
  <si>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</si>
  <si>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</si>
  <si>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</si>
  <si>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</si>
  <si>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</si>
  <si>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</si>
  <si>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</si>
  <si>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</si>
  <si>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</si>
  <si>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</si>
  <si>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</si>
  <si>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</si>
  <si>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</si>
  <si>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</si>
  <si>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</si>
  <si>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</si>
  <si>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</si>
  <si>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</si>
  <si>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</si>
  <si>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</si>
  <si>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</si>
  <si>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</si>
  <si>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</si>
  <si>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</si>
  <si>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</si>
  <si>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</si>
  <si>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</si>
  <si>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</si>
  <si>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</si>
  <si>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</si>
  <si>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</si>
  <si>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</si>
  <si>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</si>
  <si>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</si>
  <si>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</si>
  <si>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</si>
  <si>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</si>
  <si>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</si>
  <si>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</si>
  <si>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</si>
  <si>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</si>
  <si>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</si>
  <si>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</si>
  <si>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</si>
  <si>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</si>
  <si>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</si>
  <si>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</si>
  <si>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</si>
  <si>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</si>
  <si>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</si>
  <si>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</si>
  <si>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</si>
  <si>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</si>
  <si>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</si>
  <si>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</si>
  <si>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</si>
  <si>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</si>
  <si>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</si>
  <si>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</si>
  <si>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</si>
  <si>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</si>
  <si>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</si>
  <si>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</si>
  <si>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</si>
  <si>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</si>
  <si>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</si>
  <si>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</si>
  <si>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</si>
  <si>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</si>
  <si>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</si>
  <si>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</si>
  <si>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</si>
  <si>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</si>
  <si>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</si>
  <si>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</si>
  <si>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</si>
  <si>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</si>
  <si>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</si>
  <si>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</si>
  <si>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</si>
  <si>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</si>
  <si>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</si>
  <si>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</si>
  <si>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</si>
  <si>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</si>
  <si>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</si>
  <si>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</si>
  <si>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</si>
  <si>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</si>
  <si>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</si>
  <si>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</si>
  <si>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</si>
  <si>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</si>
  <si>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</si>
  <si>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</si>
  <si>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</si>
  <si>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</si>
  <si>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</si>
  <si>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</si>
  <si>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</si>
  <si>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</si>
  <si>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</si>
  <si>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</si>
  <si>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</si>
  <si>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</si>
  <si>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</si>
  <si>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</si>
  <si>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</si>
  <si>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</si>
  <si>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</si>
  <si>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</si>
  <si>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</si>
  <si>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</si>
  <si>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</si>
  <si>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</si>
  <si>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</si>
  <si>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</si>
  <si>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</si>
  <si>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</si>
  <si>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</si>
  <si>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</si>
  <si>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</si>
  <si>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</si>
  <si>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</si>
  <si>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</si>
  <si>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</si>
  <si>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</si>
  <si>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</si>
  <si>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</si>
  <si>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</si>
  <si>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</si>
  <si>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</si>
  <si>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</si>
  <si>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</si>
  <si>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</si>
  <si>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</si>
  <si>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</si>
  <si>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</si>
  <si>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</si>
  <si>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</si>
  <si>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</si>
  <si>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</si>
  <si>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</si>
  <si>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</si>
  <si>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</si>
  <si>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</si>
  <si>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</si>
  <si>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</si>
  <si>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</si>
  <si>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</si>
  <si>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</si>
  <si>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</si>
  <si>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</si>
  <si>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</si>
  <si>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</si>
  <si>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</si>
  <si>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</si>
  <si>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</si>
  <si>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</si>
  <si>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</si>
  <si>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</si>
  <si>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</si>
  <si>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</si>
  <si>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</si>
  <si>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</si>
  <si>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</si>
  <si>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</si>
  <si>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</si>
  <si>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</si>
  <si>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</si>
  <si>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</si>
  <si>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</si>
  <si>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</si>
  <si>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</si>
  <si>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</si>
  <si>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</si>
  <si>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</si>
  <si>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</si>
  <si>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</si>
  <si>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</si>
  <si>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</si>
  <si>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</si>
  <si>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</si>
  <si>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</si>
  <si>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</si>
  <si>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</si>
  <si>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</si>
  <si>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</si>
  <si>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</si>
  <si>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</si>
  <si>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</si>
  <si>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</si>
  <si>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</si>
  <si>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</si>
  <si>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</si>
  <si>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</si>
  <si>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</si>
  <si>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</si>
  <si>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</si>
  <si>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</si>
  <si>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</si>
  <si>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</si>
  <si>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</si>
  <si>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</si>
  <si>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</si>
  <si>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</si>
  <si>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</si>
  <si>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</si>
  <si>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</si>
  <si>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</si>
  <si>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</si>
  <si>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</si>
  <si>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</si>
  <si>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</si>
  <si>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</si>
  <si>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</si>
  <si>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</si>
  <si>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</si>
  <si>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</si>
  <si>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</si>
  <si>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</si>
  <si>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</si>
  <si>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</si>
  <si>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</si>
  <si>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</si>
  <si>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</si>
  <si>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</si>
  <si>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</si>
  <si>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</si>
  <si>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</si>
  <si>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</si>
  <si>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</si>
  <si>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</si>
  <si>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</si>
  <si>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</si>
  <si>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</si>
  <si>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</si>
  <si>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</si>
  <si>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</si>
  <si>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</si>
  <si>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</si>
  <si>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</si>
  <si>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</si>
  <si>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</si>
  <si>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</si>
  <si>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</si>
  <si>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</si>
  <si>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</si>
  <si>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</si>
  <si>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</si>
  <si>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</si>
  <si>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</si>
  <si>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</si>
  <si>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</si>
  <si>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</si>
  <si>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</si>
  <si>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</si>
  <si>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</si>
  <si>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</si>
  <si>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</si>
  <si>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</si>
  <si>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</si>
  <si>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</si>
  <si>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</si>
  <si>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</si>
  <si>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</si>
  <si>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</si>
  <si>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</si>
  <si>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</si>
  <si>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</si>
  <si>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</si>
  <si>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</si>
  <si>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</si>
  <si>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</si>
  <si>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</si>
  <si>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</si>
  <si>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</si>
  <si>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</si>
  <si>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</si>
  <si>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</si>
  <si>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</si>
  <si>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</si>
  <si>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</si>
  <si>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</si>
  <si>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</si>
  <si>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</si>
  <si>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</si>
  <si>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</si>
  <si>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</si>
  <si>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</si>
  <si>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</si>
  <si>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</si>
  <si>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</si>
  <si>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</si>
  <si>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</si>
  <si>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</si>
  <si>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</si>
  <si>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</si>
  <si>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</si>
  <si>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</si>
  <si>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</si>
  <si>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</si>
  <si>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</si>
  <si>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</si>
  <si>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</si>
  <si>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</si>
  <si>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</si>
  <si>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</si>
  <si>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</si>
  <si>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</si>
  <si>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</si>
  <si>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</si>
  <si>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</si>
  <si>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</si>
  <si>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</si>
  <si>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</si>
  <si>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</si>
  <si>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</si>
  <si>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</si>
  <si>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</si>
  <si>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</si>
  <si>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</si>
  <si>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</si>
  <si>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</si>
  <si>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</si>
  <si>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</si>
  <si>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</si>
  <si>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</si>
  <si>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</si>
  <si>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</si>
  <si>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</si>
  <si>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</si>
  <si>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</si>
  <si>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</si>
  <si>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</si>
  <si>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</si>
  <si>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</si>
  <si>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</si>
  <si>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</si>
  <si>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</si>
  <si>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</si>
  <si>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</si>
  <si>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</si>
  <si>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</si>
  <si>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</si>
  <si>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</si>
  <si>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</si>
  <si>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</si>
  <si>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</si>
  <si>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</si>
  <si>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</si>
  <si>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</si>
  <si>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</si>
  <si>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</si>
  <si>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</si>
  <si>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</si>
  <si>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</si>
  <si>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</si>
  <si>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</si>
  <si>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</si>
  <si>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</si>
  <si>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</si>
  <si>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</si>
  <si>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</si>
  <si>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</si>
  <si>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</si>
  <si>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</si>
  <si>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</si>
  <si>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</si>
  <si>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</si>
  <si>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</si>
  <si>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</si>
  <si>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</si>
  <si>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</si>
  <si>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</si>
  <si>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</si>
  <si>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</si>
  <si>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</si>
  <si>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</si>
  <si>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</si>
  <si>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</si>
  <si>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</si>
  <si>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</si>
  <si>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</si>
  <si>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</si>
  <si>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</si>
  <si>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</si>
  <si>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</si>
  <si>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</si>
  <si>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</si>
  <si>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</si>
  <si>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</si>
  <si>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</si>
  <si>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</si>
  <si>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</si>
  <si>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</si>
  <si>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</si>
  <si>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</si>
  <si>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</si>
  <si>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</si>
  <si>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</si>
  <si>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</si>
  <si>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</si>
  <si>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</si>
  <si>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</si>
  <si>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</si>
  <si>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</si>
  <si>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</si>
  <si>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</si>
  <si>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</si>
  <si>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</si>
  <si>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</si>
  <si>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</si>
  <si>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</si>
  <si>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</si>
  <si>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</si>
  <si>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</si>
  <si>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</si>
  <si>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</si>
  <si>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</si>
  <si>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</si>
  <si>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</si>
  <si>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</si>
  <si>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</si>
  <si>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</si>
  <si>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</si>
  <si>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</si>
  <si>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</si>
  <si>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</si>
  <si>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</si>
  <si>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</si>
  <si>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</si>
  <si>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</si>
  <si>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</si>
  <si>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</si>
  <si>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</si>
  <si>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</si>
  <si>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</si>
  <si>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</si>
  <si>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</si>
  <si>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</si>
  <si>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</si>
  <si>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</si>
  <si>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</si>
  <si>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</si>
  <si>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</si>
  <si>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</si>
  <si>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</si>
  <si>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</si>
  <si>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</si>
  <si>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</si>
  <si>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</si>
  <si>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</si>
  <si>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</si>
  <si>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</si>
  <si>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</si>
  <si>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</si>
  <si>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</si>
  <si>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</si>
  <si>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</si>
  <si>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</si>
  <si>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</si>
  <si>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</si>
  <si>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</si>
  <si>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</si>
  <si>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</si>
  <si>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</si>
  <si>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</si>
  <si>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</si>
  <si>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</si>
  <si>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</si>
  <si>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</si>
  <si>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</si>
  <si>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</si>
  <si>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</si>
  <si>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</si>
  <si>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</si>
  <si>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</si>
  <si>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</si>
  <si>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</si>
  <si>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</si>
  <si>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</si>
  <si>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</si>
  <si>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</si>
  <si>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</si>
  <si>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</si>
  <si>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</si>
  <si>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</si>
  <si>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</si>
  <si>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</si>
  <si>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</si>
  <si>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</si>
  <si>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</si>
  <si>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</si>
  <si>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</si>
  <si>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</si>
  <si>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</si>
  <si>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</si>
  <si>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</si>
  <si>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</si>
  <si>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</si>
  <si>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</si>
  <si>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</si>
  <si>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</si>
  <si>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</si>
  <si>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</si>
  <si>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</si>
  <si>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</si>
  <si>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</si>
  <si>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</si>
  <si>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</si>
  <si>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</si>
  <si>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</si>
  <si>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</si>
  <si>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</si>
  <si>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</si>
  <si>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</si>
  <si>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</si>
  <si>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</si>
  <si>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</si>
  <si>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</si>
  <si>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</si>
  <si>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</si>
  <si>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</si>
  <si>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</si>
  <si>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</si>
  <si>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</si>
  <si>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</si>
  <si>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</si>
  <si>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</si>
  <si>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</si>
  <si>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</si>
  <si>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</si>
  <si>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</si>
  <si>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</si>
  <si>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</si>
  <si>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</si>
  <si>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</si>
  <si>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</si>
  <si>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</si>
  <si>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</si>
  <si>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</si>
  <si>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</si>
  <si>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</si>
  <si>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</si>
  <si>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</si>
  <si>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</si>
  <si>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</si>
  <si>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</si>
  <si>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</si>
  <si>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</si>
  <si>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</si>
  <si>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</si>
  <si>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</si>
  <si>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</si>
  <si>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</si>
  <si>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</si>
  <si>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</si>
  <si>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</si>
  <si>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</si>
  <si>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</si>
  <si>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</si>
  <si>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</si>
  <si>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</si>
  <si>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</si>
  <si>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</si>
  <si>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</si>
  <si>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</si>
  <si>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</si>
  <si>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</si>
  <si>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</si>
  <si>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</si>
  <si>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</si>
  <si>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</si>
  <si>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</si>
  <si>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</si>
  <si>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</si>
  <si>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</si>
  <si>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</si>
  <si>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</si>
  <si>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</si>
  <si>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</si>
  <si>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</si>
  <si>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</si>
  <si>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</si>
  <si>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</si>
  <si>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</si>
  <si>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</si>
  <si>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</si>
  <si>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</si>
  <si>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</si>
  <si>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</si>
  <si>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</si>
  <si>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</si>
  <si>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</si>
  <si>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</si>
  <si>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</si>
  <si>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</si>
  <si>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</si>
  <si>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</si>
  <si>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</si>
  <si>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</si>
  <si>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</si>
  <si>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</si>
  <si>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</si>
  <si>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</si>
  <si>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</si>
  <si>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</si>
  <si>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</si>
  <si>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</si>
  <si>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</si>
  <si>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</si>
  <si>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</si>
  <si>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</si>
  <si>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</si>
  <si>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</si>
  <si>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</si>
  <si>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</si>
  <si>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</si>
  <si>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</si>
  <si>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</si>
  <si>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</si>
  <si>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</si>
  <si>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</si>
  <si>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</si>
  <si>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</si>
  <si>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</si>
  <si>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</si>
  <si>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</si>
  <si>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</si>
  <si>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</si>
  <si>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</si>
  <si>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</si>
  <si>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</si>
  <si>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</si>
  <si>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</si>
  <si>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</si>
  <si>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</si>
  <si>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</si>
  <si>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</si>
  <si>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</si>
  <si>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</si>
  <si>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</si>
  <si>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</si>
  <si>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</si>
  <si>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</si>
  <si>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</si>
  <si>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</si>
  <si>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</si>
  <si>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</si>
  <si>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</si>
  <si>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</si>
  <si>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</si>
  <si>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</si>
  <si>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</si>
  <si>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</si>
  <si>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</si>
  <si>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</si>
  <si>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</si>
  <si>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</si>
  <si>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</si>
  <si>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</si>
  <si>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</si>
  <si>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</si>
  <si>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</si>
  <si>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</si>
  <si>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</si>
  <si>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</si>
  <si>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</si>
  <si>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</si>
  <si>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</si>
  <si>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</si>
  <si>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</si>
  <si>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</si>
  <si>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</si>
  <si>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</si>
  <si>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</si>
  <si>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</si>
  <si>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</si>
  <si>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</si>
  <si>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</si>
  <si>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</si>
  <si>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</si>
  <si>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</si>
  <si>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</si>
  <si>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</si>
  <si>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</si>
  <si>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</si>
  <si>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</si>
  <si>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</si>
  <si>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</si>
  <si>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</si>
  <si>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</si>
  <si>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</si>
  <si>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</si>
  <si>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</si>
  <si>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</si>
  <si>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</si>
  <si>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</si>
  <si>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</si>
  <si>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</si>
  <si>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</si>
  <si>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</si>
  <si>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</si>
  <si>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</si>
  <si>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</si>
  <si>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</si>
  <si>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</si>
  <si>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</si>
  <si>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</si>
  <si>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</si>
  <si>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</si>
  <si>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</si>
  <si>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</si>
  <si>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</si>
  <si>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</si>
  <si>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</si>
  <si>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</si>
  <si>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</si>
  <si>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</si>
  <si>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</si>
  <si>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</si>
  <si>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</si>
  <si>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</si>
  <si>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</si>
  <si>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</si>
  <si>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</si>
  <si>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</si>
  <si>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</si>
  <si>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</si>
  <si>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</si>
  <si>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</si>
  <si>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</si>
  <si>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</si>
  <si>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</si>
  <si>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</si>
  <si>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</si>
  <si>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</si>
  <si>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</si>
  <si>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</si>
  <si>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</si>
  <si>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</si>
  <si>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</si>
  <si>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</si>
  <si>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</si>
  <si>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</si>
  <si>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</si>
  <si>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</si>
  <si>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</si>
  <si>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</si>
  <si>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</si>
  <si>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</si>
  <si>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</si>
  <si>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</si>
  <si>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</si>
  <si>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</si>
  <si>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</si>
  <si>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</si>
  <si>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</si>
  <si>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</si>
  <si>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</si>
  <si>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</si>
  <si>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</si>
  <si>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</si>
  <si>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</si>
  <si>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</si>
  <si>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</si>
  <si>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</si>
  <si>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</si>
  <si>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</si>
  <si>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</si>
  <si>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</si>
  <si>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</si>
  <si>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</si>
  <si>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</si>
  <si>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</si>
  <si>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</si>
  <si>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</si>
  <si>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</si>
  <si>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</si>
  <si>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</si>
  <si>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</si>
  <si>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</si>
  <si>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</si>
  <si>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</si>
  <si>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</si>
  <si>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</si>
  <si>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</si>
  <si>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</si>
  <si>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</si>
  <si>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</si>
  <si>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</si>
  <si>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</si>
  <si>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</si>
  <si>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</si>
  <si>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</si>
  <si>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</si>
  <si>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</si>
  <si>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</si>
  <si>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</si>
  <si>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</si>
  <si>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</si>
  <si>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</si>
  <si>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</si>
  <si>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</si>
  <si>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</si>
  <si>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</si>
  <si>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</si>
  <si>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</si>
  <si>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</si>
  <si>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</si>
  <si>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</si>
  <si>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</si>
  <si>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</si>
  <si>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</si>
  <si>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</si>
  <si>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</si>
  <si>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</si>
  <si>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</si>
  <si>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</si>
  <si>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</si>
  <si>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</si>
  <si>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</si>
  <si>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</si>
  <si>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</si>
  <si>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</si>
  <si>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</si>
  <si>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</si>
  <si>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</si>
  <si>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</si>
  <si>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</si>
  <si>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</si>
  <si>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</si>
  <si>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</si>
  <si>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</si>
  <si>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</si>
  <si>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</si>
  <si>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</si>
  <si>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</si>
  <si>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</si>
  <si>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</si>
  <si>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</si>
  <si>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</si>
  <si>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</si>
  <si>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</si>
  <si>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</si>
  <si>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</si>
  <si>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</si>
  <si>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</si>
  <si>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</si>
  <si>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</si>
  <si>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</si>
  <si>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</si>
  <si>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</si>
  <si>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</si>
  <si>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</si>
  <si>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</si>
  <si>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</si>
  <si>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</si>
  <si>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</si>
  <si>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</si>
  <si>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</si>
  <si>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</si>
  <si>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</si>
  <si>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</si>
  <si>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</si>
  <si>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</si>
  <si>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</si>
  <si>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</si>
  <si>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</si>
  <si>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</si>
  <si>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</si>
  <si>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</si>
  <si>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</si>
  <si>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</si>
  <si>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</si>
  <si>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</si>
  <si>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</si>
  <si>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</si>
  <si>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</si>
  <si>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</si>
  <si>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</si>
  <si>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</si>
  <si>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</si>
  <si>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</si>
  <si>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</si>
  <si>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</si>
  <si>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</si>
  <si>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</si>
  <si>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</si>
  <si>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</si>
  <si>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</si>
  <si>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</si>
  <si>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</si>
  <si>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</si>
  <si>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</si>
  <si>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</si>
  <si>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</si>
  <si>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</si>
  <si>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</si>
  <si>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</si>
  <si>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</si>
  <si>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</si>
  <si>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</si>
  <si>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</si>
  <si>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</si>
  <si>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</si>
  <si>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</si>
  <si>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</si>
  <si>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</si>
  <si>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</si>
  <si>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</si>
  <si>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</si>
  <si>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</si>
  <si>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</si>
  <si>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</si>
  <si>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</si>
  <si>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</si>
  <si>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</si>
  <si>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</si>
  <si>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</si>
  <si>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</si>
  <si>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</si>
  <si>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</si>
  <si>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</si>
  <si>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</si>
  <si>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</si>
  <si>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</si>
  <si>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</si>
  <si>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</si>
  <si>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</si>
  <si>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</si>
  <si>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</si>
  <si>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</si>
  <si>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</si>
  <si>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</si>
  <si>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</si>
  <si>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</si>
  <si>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</si>
  <si>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</si>
  <si>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</si>
  <si>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</si>
  <si>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</si>
  <si>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</si>
  <si>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</si>
  <si>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</si>
  <si>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</si>
  <si>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</si>
  <si>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</si>
  <si>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</si>
  <si>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</si>
  <si>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</si>
  <si>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</si>
  <si>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</si>
  <si>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</si>
  <si>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</si>
  <si>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</si>
  <si>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</si>
  <si>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</si>
  <si>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</si>
  <si>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</si>
  <si>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</si>
  <si>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</si>
  <si>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</si>
  <si>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</si>
  <si>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</si>
  <si>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</si>
  <si>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</si>
  <si>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</si>
  <si>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</si>
  <si>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</si>
  <si>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</si>
  <si>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</si>
  <si>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</si>
  <si>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</si>
  <si>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</si>
  <si>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</si>
  <si>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</si>
  <si>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</si>
  <si>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</si>
  <si>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</si>
  <si>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</si>
  <si>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</si>
  <si>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</si>
  <si>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</si>
  <si>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</si>
  <si>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</si>
  <si>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</si>
  <si>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</si>
  <si>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</si>
  <si>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</si>
  <si>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</si>
  <si>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</si>
  <si>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</si>
  <si>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</si>
  <si>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</si>
  <si>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</si>
  <si>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</si>
  <si>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</si>
  <si>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</si>
  <si>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</si>
  <si>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</si>
  <si>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</si>
  <si>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</si>
  <si>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</si>
  <si>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</si>
  <si>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</si>
  <si>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</si>
  <si>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</si>
  <si>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</si>
  <si>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</si>
  <si>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</si>
  <si>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</si>
  <si>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</si>
  <si>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</si>
  <si>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</si>
  <si>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</si>
  <si>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</si>
  <si>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</si>
  <si>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</si>
  <si>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</si>
  <si>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</si>
  <si>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</si>
  <si>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</si>
  <si>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</si>
  <si>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</si>
  <si>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</si>
  <si>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</si>
  <si>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</si>
  <si>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</si>
  <si>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</si>
  <si>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</si>
  <si>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</si>
  <si>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</si>
  <si>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</si>
  <si>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</si>
  <si>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</si>
  <si>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</si>
  <si>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</si>
  <si>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</si>
  <si>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</si>
  <si>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</si>
  <si>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</si>
  <si>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</si>
  <si>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</si>
  <si>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</si>
  <si>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</si>
  <si>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</si>
  <si>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</si>
  <si>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</si>
  <si>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</si>
  <si>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</si>
  <si>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</si>
  <si>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</si>
  <si>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</si>
  <si>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</si>
  <si>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</si>
  <si>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</si>
  <si>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</si>
  <si>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</si>
  <si>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</si>
  <si>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</si>
  <si>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</si>
  <si>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</si>
  <si>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</si>
  <si>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</si>
  <si>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</si>
  <si>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</si>
  <si>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</si>
  <si>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</si>
  <si>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</si>
  <si>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</si>
  <si>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</si>
  <si>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</si>
  <si>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</si>
  <si>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</si>
  <si>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</si>
  <si>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</si>
  <si>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</si>
  <si>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</si>
  <si>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</si>
  <si>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</si>
  <si>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</si>
  <si>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</si>
  <si>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</si>
  <si>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</si>
  <si>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</si>
  <si>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</si>
  <si>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</si>
  <si>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</si>
  <si>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</si>
  <si>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</si>
  <si>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</si>
  <si>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</si>
  <si>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</si>
  <si>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</si>
  <si>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</si>
  <si>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</si>
  <si>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</si>
  <si>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</si>
  <si>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</si>
  <si>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</si>
  <si>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</si>
  <si>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</si>
  <si>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</si>
  <si>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</si>
  <si>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</si>
  <si>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</si>
  <si>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</si>
  <si>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</si>
  <si>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</si>
  <si>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</si>
  <si>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</si>
  <si>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</si>
  <si>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</si>
  <si>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</si>
  <si>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</si>
  <si>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</si>
  <si>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</si>
  <si>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</si>
  <si>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</si>
  <si>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</si>
  <si>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</si>
  <si>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</si>
  <si>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</si>
  <si>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</si>
  <si>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</si>
  <si>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</si>
  <si>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</si>
  <si>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</si>
  <si>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</si>
  <si>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</si>
  <si>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</si>
  <si>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</si>
  <si>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</si>
  <si>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</si>
  <si>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</si>
  <si>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</si>
  <si>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</si>
  <si>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</si>
  <si>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</si>
  <si>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</si>
  <si>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</si>
  <si>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</si>
  <si>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</si>
  <si>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</si>
  <si>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</si>
  <si>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</si>
  <si>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</si>
  <si>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</si>
  <si>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</si>
  <si>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</si>
  <si>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</si>
  <si>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</si>
  <si>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</si>
  <si>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</si>
  <si>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</si>
  <si>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</si>
  <si>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</si>
  <si>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</si>
  <si>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</si>
  <si>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</si>
  <si>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</si>
  <si>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</si>
  <si>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</si>
  <si>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</si>
  <si>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</si>
  <si>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</si>
  <si>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</si>
  <si>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</si>
  <si>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</si>
  <si>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</si>
  <si>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</si>
  <si>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</si>
  <si>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</si>
  <si>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</si>
  <si>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</si>
  <si>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</si>
  <si>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</si>
  <si>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</si>
  <si>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</si>
  <si>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</si>
  <si>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</si>
  <si>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</si>
  <si>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</si>
  <si>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</si>
  <si>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</si>
  <si>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</si>
  <si>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</si>
  <si>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</si>
  <si>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</si>
  <si>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</si>
  <si>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</si>
  <si>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</si>
  <si>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</si>
  <si>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</si>
  <si>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</si>
  <si>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</si>
  <si>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</si>
  <si>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</si>
  <si>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</si>
  <si>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</si>
  <si>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</si>
  <si>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</si>
  <si>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</si>
  <si>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</si>
  <si>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</si>
  <si>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</si>
  <si>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</si>
  <si>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</si>
  <si>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</si>
  <si>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</si>
  <si>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</si>
  <si>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</si>
  <si>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</si>
  <si>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</si>
  <si>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</si>
  <si>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</si>
  <si>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</si>
  <si>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</si>
  <si>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</si>
  <si>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</si>
  <si>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</si>
  <si>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</si>
  <si>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</si>
  <si>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</si>
  <si>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</si>
  <si>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</si>
  <si>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</si>
  <si>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</si>
  <si>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</si>
  <si>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</si>
  <si>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</si>
  <si>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</si>
  <si>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</si>
  <si>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</si>
  <si>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</si>
  <si>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</si>
  <si>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</si>
  <si>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</si>
  <si>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</si>
  <si>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</si>
  <si>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</si>
  <si>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</si>
  <si>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</si>
  <si>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</si>
  <si>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</si>
  <si>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</si>
  <si>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</si>
  <si>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</si>
  <si>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</si>
  <si>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</si>
  <si>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</si>
  <si>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</si>
  <si>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</si>
  <si>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</si>
  <si>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</si>
  <si>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</si>
  <si>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</si>
  <si>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</si>
  <si>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</si>
  <si>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</si>
  <si>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</si>
  <si>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</si>
  <si>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</si>
  <si>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</si>
  <si>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</si>
  <si>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</si>
  <si>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</si>
  <si>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</si>
  <si>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</si>
  <si>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</si>
  <si>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</si>
  <si>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</si>
  <si>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</si>
  <si>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</si>
  <si>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</si>
  <si>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</si>
  <si>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</si>
  <si>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</si>
  <si>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</si>
  <si>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</si>
  <si>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</si>
  <si>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</si>
  <si>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</si>
  <si>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</si>
  <si>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</si>
  <si>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</si>
  <si>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</si>
  <si>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</si>
  <si>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</si>
  <si>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</si>
  <si>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</si>
  <si>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</si>
  <si>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</si>
  <si>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</si>
  <si>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</si>
  <si>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</si>
  <si>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</si>
  <si>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</si>
  <si>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</si>
  <si>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</si>
  <si>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</si>
  <si>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</si>
  <si>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</si>
  <si>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</si>
  <si>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</si>
  <si>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</si>
  <si>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</si>
  <si>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</si>
  <si>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</si>
  <si>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</si>
  <si>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</si>
  <si>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</si>
  <si>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</si>
  <si>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</si>
  <si>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</si>
  <si>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</si>
  <si>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</si>
  <si>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</si>
  <si>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</si>
  <si>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</si>
  <si>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</si>
  <si>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</si>
  <si>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</si>
  <si>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</si>
  <si>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</si>
  <si>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</si>
  <si>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</si>
  <si>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</si>
  <si>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</si>
  <si>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</si>
  <si>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</si>
  <si>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</si>
  <si>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</si>
  <si>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</si>
  <si>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</si>
  <si>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</si>
  <si>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</si>
  <si>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</si>
  <si>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</si>
  <si>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</si>
  <si>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</si>
  <si>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</si>
  <si>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</si>
  <si>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</si>
  <si>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</si>
  <si>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</si>
  <si>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</si>
  <si>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</si>
  <si>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</si>
  <si>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</si>
  <si>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</si>
  <si>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</si>
  <si>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</si>
  <si>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</si>
  <si>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</si>
  <si>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</si>
  <si>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</si>
  <si>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</si>
  <si>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</si>
  <si>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</si>
  <si>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</si>
  <si>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</si>
  <si>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</si>
  <si>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</si>
  <si>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</si>
  <si>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</si>
  <si>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</si>
  <si>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</si>
  <si>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</si>
  <si>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</si>
  <si>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</si>
  <si>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</si>
  <si>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</si>
  <si>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</si>
  <si>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</si>
  <si>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</si>
  <si>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</si>
  <si>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</si>
  <si>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</si>
  <si>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</si>
  <si>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</si>
  <si>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</si>
  <si>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</si>
  <si>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</si>
  <si>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</si>
  <si>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</si>
  <si>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</si>
  <si>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</si>
  <si>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</si>
  <si>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</si>
  <si>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</si>
  <si>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</si>
  <si>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</si>
  <si>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</si>
  <si>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</si>
  <si>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</si>
  <si>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</si>
  <si>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</si>
  <si>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</si>
  <si>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</si>
  <si>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</si>
  <si>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</si>
  <si>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</si>
  <si>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</si>
  <si>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</si>
  <si>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</si>
  <si>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</si>
  <si>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</si>
  <si>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</si>
  <si>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</si>
  <si>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</si>
  <si>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</si>
  <si>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</si>
  <si>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</si>
  <si>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</si>
  <si>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</si>
  <si>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</si>
  <si>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</si>
  <si>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</si>
  <si>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</si>
  <si>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</si>
  <si>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</si>
  <si>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</si>
  <si>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</si>
  <si>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</si>
  <si>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</si>
  <si>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</si>
  <si>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</si>
  <si>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</si>
  <si>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</si>
  <si>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</si>
  <si>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</si>
  <si>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</si>
  <si>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</si>
  <si>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</si>
  <si>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</si>
  <si>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</si>
  <si>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</si>
  <si>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</si>
  <si>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</si>
  <si>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</si>
  <si>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</si>
  <si>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</si>
  <si>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</si>
  <si>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</si>
  <si>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</si>
  <si>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</si>
  <si>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</si>
  <si>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</si>
  <si>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</si>
  <si>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</si>
  <si>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</si>
  <si>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</si>
  <si>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</si>
  <si>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</si>
  <si>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</si>
  <si>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</si>
  <si>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</si>
  <si>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</si>
  <si>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</si>
  <si>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</si>
  <si>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</si>
  <si>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</si>
  <si>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</si>
  <si>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</si>
  <si>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</si>
  <si>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</si>
  <si>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</si>
  <si>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</si>
  <si>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</si>
  <si>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</si>
  <si>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</si>
  <si>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</si>
  <si>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</si>
  <si>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</si>
  <si>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</si>
  <si>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</si>
  <si>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</si>
  <si>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</si>
  <si>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</si>
  <si>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</si>
  <si>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</si>
  <si>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</si>
  <si>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</si>
  <si>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</si>
  <si>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</si>
  <si>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</si>
  <si>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</si>
  <si>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</si>
  <si>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</si>
  <si>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</si>
  <si>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</si>
  <si>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</si>
  <si>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</si>
  <si>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</si>
  <si>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</si>
  <si>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</si>
  <si>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</si>
  <si>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</si>
  <si>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</si>
  <si>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</si>
  <si>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</si>
  <si>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</si>
  <si>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</si>
  <si>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</si>
  <si>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</si>
  <si>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</si>
  <si>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</si>
  <si>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</si>
  <si>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</si>
  <si>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</si>
  <si>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</si>
  <si>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</si>
  <si>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</si>
  <si>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</si>
  <si>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</si>
  <si>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</si>
  <si>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</si>
  <si>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</si>
  <si>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</si>
  <si>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</si>
  <si>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</si>
  <si>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</si>
  <si>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</si>
  <si>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</si>
  <si>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</si>
  <si>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</si>
  <si>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</si>
  <si>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</si>
  <si>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</si>
  <si>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</si>
  <si>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</si>
  <si>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</si>
  <si>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</si>
  <si>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</si>
  <si>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</si>
  <si>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</si>
  <si>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</si>
  <si>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</si>
  <si>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</si>
  <si>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</si>
  <si>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</si>
  <si>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</si>
  <si>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</si>
  <si>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</si>
  <si>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</si>
  <si>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</si>
  <si>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</si>
  <si>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</si>
  <si>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</si>
  <si>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</si>
  <si>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</si>
  <si>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</si>
  <si>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</si>
  <si>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</si>
  <si>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</si>
  <si>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</si>
  <si>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</si>
  <si>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</si>
  <si>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</si>
  <si>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</si>
  <si>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</si>
  <si>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</si>
  <si>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</si>
  <si>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</si>
  <si>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</si>
  <si>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</si>
  <si>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</si>
  <si>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</si>
  <si>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</si>
  <si>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</si>
  <si>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</si>
  <si>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</si>
  <si>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</si>
  <si>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</si>
  <si>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</si>
  <si>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</si>
  <si>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</si>
  <si>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</si>
  <si>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</si>
  <si>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</si>
  <si>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</si>
  <si>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</si>
  <si>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</si>
  <si>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</si>
  <si>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</si>
  <si>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</si>
  <si>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</si>
  <si>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</si>
  <si>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</si>
  <si>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</si>
  <si>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</si>
  <si>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</si>
  <si>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</si>
  <si>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</si>
  <si>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</si>
  <si>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</si>
  <si>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</si>
  <si>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</si>
  <si>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</si>
  <si>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</si>
  <si>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</si>
  <si>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</si>
  <si>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</si>
  <si>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</si>
  <si>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</si>
  <si>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</si>
  <si>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</si>
  <si>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</si>
  <si>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</si>
  <si>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</si>
  <si>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</si>
  <si>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</si>
  <si>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</si>
  <si>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</si>
  <si>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</si>
  <si>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</si>
  <si>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</si>
  <si>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</si>
  <si>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</si>
  <si>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</si>
  <si>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</si>
  <si>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</si>
  <si>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</si>
  <si>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</si>
  <si>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</si>
  <si>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</si>
  <si>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</si>
  <si>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</si>
  <si>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</si>
  <si>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</si>
  <si>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</si>
  <si>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</si>
  <si>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</si>
  <si>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</si>
  <si>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</si>
  <si>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</si>
  <si>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</si>
  <si>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</si>
  <si>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</si>
  <si>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</si>
  <si>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</si>
  <si>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</si>
  <si>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</si>
  <si>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</si>
  <si>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</si>
  <si>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</si>
  <si>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</si>
  <si>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</si>
  <si>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</si>
  <si>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</si>
  <si>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</si>
  <si>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</si>
  <si>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</si>
  <si>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</si>
  <si>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</si>
  <si>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</si>
  <si>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</si>
  <si>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</si>
  <si>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</si>
  <si>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</si>
  <si>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</si>
  <si>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</si>
  <si>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</si>
  <si>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</si>
  <si>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</si>
  <si>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</si>
  <si>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</si>
  <si>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</si>
  <si>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</si>
  <si>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</si>
  <si>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</si>
  <si>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</si>
  <si>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</si>
  <si>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</si>
  <si>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</si>
  <si>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</si>
  <si>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</si>
  <si>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</si>
  <si>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</si>
  <si>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</si>
  <si>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</si>
  <si>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</si>
  <si>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</si>
  <si>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</si>
  <si>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</si>
  <si>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</si>
  <si>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</si>
  <si>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</si>
  <si>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</si>
  <si>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</si>
  <si>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</si>
  <si>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</si>
  <si>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</si>
  <si>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</si>
  <si>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</si>
  <si>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</si>
  <si>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</si>
  <si>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</si>
  <si>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</si>
  <si>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</si>
  <si>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</si>
  <si>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</si>
  <si>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</si>
  <si>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</si>
  <si>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</si>
  <si>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</si>
  <si>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</si>
  <si>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</si>
  <si>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</si>
  <si>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</si>
  <si>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</si>
  <si>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</si>
  <si>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</si>
  <si>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</si>
  <si>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</si>
  <si>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</si>
  <si>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</si>
  <si>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</si>
  <si>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</si>
  <si>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</si>
  <si>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</si>
  <si>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</si>
  <si>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</si>
  <si>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</si>
  <si>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</si>
  <si>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</si>
  <si>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</si>
  <si>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</si>
  <si>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</si>
  <si>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</si>
  <si>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</si>
  <si>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</si>
  <si>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</si>
  <si>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</si>
  <si>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</si>
  <si>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</si>
  <si>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</si>
  <si>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</si>
  <si>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</si>
  <si>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</si>
  <si>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</si>
  <si>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</si>
  <si>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</si>
  <si>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</si>
  <si>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</si>
  <si>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</si>
  <si>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</si>
  <si>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</si>
  <si>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</si>
  <si>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</si>
  <si>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</si>
  <si>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</si>
  <si>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</si>
  <si>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</si>
  <si>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</si>
  <si>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</si>
  <si>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</si>
  <si>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</si>
  <si>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</si>
  <si>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</si>
  <si>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</si>
  <si>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</si>
  <si>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</si>
  <si>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</si>
  <si>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</si>
  <si>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</si>
  <si>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</si>
  <si>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</si>
  <si>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</si>
  <si>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</si>
  <si>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</si>
  <si>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</si>
  <si>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</si>
  <si>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</si>
  <si>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</si>
  <si>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</si>
  <si>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</si>
  <si>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</si>
  <si>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</si>
  <si>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</si>
  <si>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</si>
  <si>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</si>
  <si>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</si>
  <si>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</si>
  <si>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</si>
  <si>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</si>
  <si>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</si>
  <si>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</si>
  <si>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</si>
  <si>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</si>
  <si>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</si>
  <si>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</si>
  <si>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</si>
  <si>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</si>
  <si>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</si>
  <si>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</si>
  <si>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</si>
  <si>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</si>
  <si>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</si>
  <si>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</si>
  <si>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</si>
  <si>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</si>
  <si>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</si>
  <si>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</si>
  <si>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</si>
  <si>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</si>
  <si>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</si>
  <si>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</si>
  <si>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</si>
  <si>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</si>
  <si>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</si>
  <si>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</si>
  <si>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</si>
  <si>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</si>
  <si>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</si>
  <si>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</si>
  <si>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</si>
  <si>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</si>
  <si>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</si>
  <si>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</si>
  <si>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</si>
  <si>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</si>
  <si>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</si>
  <si>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</si>
  <si>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</si>
  <si>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</si>
  <si>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</si>
  <si>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</si>
  <si>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</si>
  <si>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</si>
  <si>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</si>
  <si>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</si>
  <si>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</si>
  <si>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</si>
  <si>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</si>
  <si>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</si>
  <si>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</si>
  <si>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</si>
  <si>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</si>
  <si>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</si>
  <si>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</si>
  <si>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</si>
  <si>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</si>
  <si>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</si>
  <si>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</si>
  <si>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</si>
  <si>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</si>
  <si>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</si>
  <si>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</si>
  <si>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</si>
  <si>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</si>
  <si>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</si>
  <si>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</si>
  <si>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</si>
  <si>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</si>
  <si>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</si>
  <si>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</si>
  <si>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</si>
  <si>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</si>
  <si>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</si>
  <si>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</si>
  <si>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</si>
  <si>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</si>
  <si>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</si>
  <si>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</si>
  <si>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</si>
  <si>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</si>
  <si>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</si>
  <si>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</si>
  <si>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</si>
  <si>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</si>
  <si>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</si>
  <si>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</si>
  <si>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</si>
  <si>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</si>
  <si>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</si>
  <si>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</si>
  <si>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</si>
  <si>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</si>
  <si>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</si>
  <si>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</si>
  <si>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</si>
  <si>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</si>
  <si>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</si>
  <si>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</si>
  <si>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</si>
  <si>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</si>
  <si>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</si>
  <si>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</si>
  <si>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</si>
  <si>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</si>
  <si>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</si>
  <si>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</si>
  <si>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</si>
  <si>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</si>
  <si>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</si>
  <si>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</si>
  <si>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</si>
  <si>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</si>
  <si>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</si>
  <si>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</si>
  <si>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</si>
  <si>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</si>
  <si>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</si>
  <si>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</si>
  <si>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</si>
  <si>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</si>
  <si>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</si>
  <si>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</si>
  <si>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</si>
  <si>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</si>
  <si>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</si>
  <si>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</si>
  <si>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</si>
  <si>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</si>
  <si>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</si>
  <si>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</si>
  <si>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</si>
  <si>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</si>
  <si>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</si>
  <si>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</si>
  <si>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</si>
  <si>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</si>
  <si>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</si>
  <si>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</si>
  <si>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</si>
  <si>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</si>
  <si>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</si>
  <si>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</si>
  <si>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</si>
  <si>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</si>
  <si>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</si>
  <si>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</si>
  <si>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</si>
  <si>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</si>
  <si>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</si>
  <si>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</si>
  <si>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</si>
  <si>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</si>
  <si>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</si>
  <si>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</si>
  <si>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</si>
  <si>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</si>
  <si>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</si>
  <si>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</si>
  <si>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</si>
  <si>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</si>
  <si>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</si>
  <si>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</si>
  <si>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</si>
  <si>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</si>
  <si>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</si>
  <si>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</si>
  <si>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</si>
  <si>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</si>
  <si>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</si>
  <si>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</si>
  <si>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</si>
  <si>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</si>
  <si>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</si>
  <si>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</si>
  <si>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</si>
  <si>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</si>
  <si>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</si>
  <si>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</si>
  <si>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</si>
  <si>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</si>
  <si>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</si>
  <si>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</si>
  <si>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</si>
  <si>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</si>
  <si>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</si>
  <si>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</si>
  <si>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</si>
  <si>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</si>
  <si>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</si>
  <si>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</si>
  <si>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</si>
  <si>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</si>
  <si>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</si>
  <si>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</si>
  <si>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</si>
  <si>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</si>
  <si>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</si>
  <si>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</si>
  <si>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</si>
  <si>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</si>
  <si>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</si>
  <si>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</si>
  <si>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</si>
  <si>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</si>
  <si>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</si>
  <si>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</si>
  <si>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</si>
  <si>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</si>
  <si>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</si>
  <si>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</si>
  <si>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</si>
  <si>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</si>
  <si>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</si>
  <si>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</si>
  <si>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</si>
  <si>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</si>
  <si>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</si>
  <si>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</si>
  <si>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</si>
  <si>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</si>
  <si>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</si>
  <si>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</si>
  <si>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</si>
  <si>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</si>
  <si>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</si>
  <si>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</si>
  <si>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</si>
  <si>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</si>
  <si>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</si>
  <si>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</si>
  <si>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</si>
  <si>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</si>
  <si>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</si>
  <si>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</si>
  <si>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</si>
  <si>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</si>
  <si>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</si>
  <si>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</si>
  <si>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</si>
  <si>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</si>
  <si>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</si>
  <si>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</si>
  <si>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</si>
  <si>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</si>
  <si>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</si>
  <si>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</si>
  <si>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</si>
  <si>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</si>
  <si>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</si>
  <si>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</si>
  <si>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</si>
  <si>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</si>
  <si>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</si>
  <si>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</si>
  <si>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</si>
  <si>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</si>
  <si>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</si>
  <si>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</si>
  <si>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</si>
  <si>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</si>
  <si>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</si>
  <si>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</si>
  <si>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</si>
  <si>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</si>
  <si>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</si>
  <si>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</si>
  <si>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</si>
  <si>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</si>
  <si>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</si>
  <si>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</si>
  <si>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</si>
  <si>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</si>
  <si>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</si>
  <si>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</si>
  <si>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</si>
  <si>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</si>
  <si>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</si>
  <si>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</si>
  <si>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</si>
  <si>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</si>
  <si>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</si>
  <si>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</si>
  <si>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</si>
  <si>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</si>
  <si>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</si>
  <si>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</si>
  <si>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</si>
  <si>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</si>
  <si>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</si>
  <si>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</si>
  <si>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</si>
  <si>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</si>
  <si>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</si>
  <si>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</si>
  <si>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</si>
  <si>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</si>
  <si>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</si>
  <si>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</si>
  <si>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</si>
  <si>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</si>
  <si>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</si>
  <si>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</si>
  <si>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</si>
  <si>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</si>
  <si>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</si>
  <si>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</si>
  <si>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</si>
  <si>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</si>
  <si>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</si>
  <si>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</si>
  <si>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</si>
  <si>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</si>
  <si>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</si>
  <si>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</si>
  <si>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</si>
  <si>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</si>
  <si>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</si>
  <si>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</si>
  <si>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</si>
  <si>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</si>
  <si>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</si>
  <si>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</si>
  <si>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</si>
  <si>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</si>
  <si>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</si>
  <si>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</si>
  <si>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</si>
  <si>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</si>
  <si>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</si>
  <si>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</si>
  <si>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</si>
  <si>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</si>
  <si>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</si>
  <si>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</si>
  <si>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</si>
  <si>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</si>
  <si>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</si>
  <si>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</si>
  <si>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</si>
  <si>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</si>
  <si>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</si>
  <si>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</si>
  <si>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</si>
  <si>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</si>
  <si>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</si>
  <si>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</si>
  <si>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</si>
  <si>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</si>
  <si>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</si>
  <si>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</si>
  <si>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</si>
  <si>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</si>
  <si>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</si>
  <si>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</si>
  <si>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</si>
  <si>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</si>
  <si>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</si>
  <si>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</si>
  <si>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</si>
  <si>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</si>
  <si>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</si>
  <si>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</si>
  <si>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</si>
  <si>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</si>
  <si>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</si>
  <si>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</si>
  <si>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</si>
  <si>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</si>
  <si>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</si>
  <si>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</si>
  <si>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</si>
  <si>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</si>
  <si>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</si>
  <si>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</si>
  <si>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</si>
  <si>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</si>
  <si>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</si>
  <si>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</si>
  <si>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</si>
  <si>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</si>
  <si>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</si>
  <si>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</si>
  <si>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</si>
  <si>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</si>
  <si>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</si>
  <si>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</si>
  <si>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</si>
  <si>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</si>
  <si>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</si>
  <si>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</si>
  <si>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</si>
  <si>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</si>
  <si>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</si>
  <si>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</si>
  <si>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</si>
  <si>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</si>
  <si>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</si>
  <si>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</si>
  <si>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</si>
  <si>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</si>
  <si>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</si>
  <si>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</si>
  <si>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</si>
  <si>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</si>
  <si>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</si>
  <si>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</si>
  <si>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</si>
  <si>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</si>
  <si>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</si>
  <si>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</si>
  <si>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</si>
  <si>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</si>
  <si>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</si>
  <si>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</si>
  <si>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</si>
  <si>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</si>
  <si>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</si>
  <si>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</si>
  <si>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</si>
  <si>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</si>
  <si>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</si>
  <si>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</si>
  <si>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</si>
  <si>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</si>
  <si>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</si>
  <si>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</si>
  <si>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</si>
  <si>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</si>
  <si>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</si>
  <si>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</si>
  <si>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</si>
  <si>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</si>
  <si>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</si>
  <si>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</si>
  <si>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</si>
  <si>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</si>
  <si>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</si>
  <si>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</si>
  <si>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</si>
  <si>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</si>
  <si>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</si>
  <si>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</si>
  <si>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</si>
  <si>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</si>
  <si>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</si>
  <si>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</si>
  <si>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</si>
  <si>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</si>
  <si>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</si>
  <si>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</si>
  <si>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</si>
  <si>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</si>
  <si>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</si>
  <si>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</si>
  <si>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</si>
  <si>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</si>
  <si>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</si>
  <si>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</si>
  <si>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</si>
  <si>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</si>
  <si>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</si>
  <si>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</si>
  <si>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</si>
  <si>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</si>
  <si>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</si>
  <si>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</si>
  <si>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</si>
  <si>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</si>
  <si>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</si>
  <si>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</si>
  <si>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</si>
  <si>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</si>
  <si>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</si>
  <si>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</si>
  <si>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</si>
  <si>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</si>
  <si>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</si>
  <si>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</si>
  <si>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</si>
  <si>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</si>
  <si>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</si>
  <si>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</si>
  <si>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</si>
  <si>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</si>
  <si>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</si>
  <si>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</si>
  <si>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</si>
  <si>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</si>
  <si>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</si>
  <si>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</si>
  <si>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</si>
  <si>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</si>
  <si>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</si>
  <si>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</si>
  <si>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</si>
  <si>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</si>
  <si>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</si>
  <si>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</si>
  <si>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</si>
  <si>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</si>
  <si>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</si>
  <si>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</si>
  <si>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</si>
  <si>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</si>
  <si>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</si>
  <si>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</si>
  <si>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</si>
  <si>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</si>
  <si>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</si>
  <si>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</si>
  <si>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</si>
  <si>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</si>
  <si>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</si>
  <si>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</si>
  <si>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</si>
  <si>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</si>
  <si>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</si>
  <si>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</si>
  <si>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</si>
  <si>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</si>
  <si>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</si>
  <si>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</si>
  <si>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</si>
  <si>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</si>
  <si>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</si>
  <si>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</si>
  <si>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</si>
  <si>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</si>
  <si>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</si>
  <si>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</si>
  <si>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</si>
  <si>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</si>
  <si>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</si>
  <si>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</si>
  <si>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</si>
  <si>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</si>
  <si>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</si>
  <si>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</si>
  <si>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</si>
  <si>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</si>
  <si>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</si>
  <si>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</si>
  <si>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</si>
  <si>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</si>
  <si>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</si>
  <si>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</si>
  <si>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</si>
  <si>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</si>
  <si>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</si>
  <si>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</si>
  <si>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</si>
  <si>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</si>
  <si>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</si>
  <si>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</si>
  <si>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</si>
  <si>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</si>
  <si>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</si>
  <si>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</si>
  <si>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</si>
  <si>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</si>
  <si>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</si>
  <si>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</si>
  <si>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</si>
  <si>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</si>
  <si>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</si>
  <si>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</si>
  <si>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</si>
  <si>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</si>
  <si>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</si>
  <si>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</si>
  <si>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</si>
  <si>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</si>
  <si>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</si>
  <si>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</si>
  <si>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</si>
  <si>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</si>
  <si>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</si>
  <si>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</si>
  <si>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</si>
  <si>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</si>
  <si>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</si>
  <si>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</si>
  <si>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</si>
  <si>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</si>
  <si>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</si>
  <si>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</si>
  <si>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</si>
  <si>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</si>
  <si>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</si>
  <si>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</si>
  <si>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</si>
  <si>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</si>
  <si>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</si>
  <si>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</si>
  <si>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</si>
  <si>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</si>
  <si>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</si>
  <si>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</si>
  <si>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</si>
  <si>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</si>
  <si>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</si>
  <si>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</si>
  <si>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</si>
  <si>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</si>
  <si>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</si>
  <si>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</si>
  <si>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</si>
  <si>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</si>
  <si>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</si>
  <si>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</si>
  <si>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</si>
  <si>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</si>
  <si>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</si>
  <si>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</si>
  <si>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</si>
  <si>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</si>
  <si>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</si>
  <si>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</si>
  <si>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</si>
  <si>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</si>
  <si>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</si>
  <si>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</si>
  <si>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</si>
  <si>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</si>
  <si>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</si>
  <si>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</si>
  <si>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</si>
  <si>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</si>
  <si>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</si>
  <si>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</si>
  <si>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</si>
  <si>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</si>
  <si>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</si>
  <si>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</si>
  <si>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</si>
  <si>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</si>
  <si>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</si>
  <si>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</si>
  <si>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</si>
  <si>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</si>
  <si>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</si>
  <si>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</si>
  <si>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</si>
  <si>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</si>
  <si>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</si>
  <si>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</si>
  <si>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</si>
  <si>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</si>
  <si>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</si>
  <si>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</si>
  <si>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</si>
  <si>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</si>
  <si>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</si>
  <si>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</si>
  <si>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</si>
  <si>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</si>
  <si>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</si>
  <si>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</si>
  <si>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</si>
  <si>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</si>
  <si>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</si>
  <si>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</si>
  <si>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</si>
  <si>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</si>
  <si>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</si>
  <si>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</si>
  <si>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</si>
  <si>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</si>
  <si>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</si>
  <si>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</si>
  <si>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</si>
  <si>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</si>
  <si>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</si>
  <si>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</si>
  <si>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</si>
  <si>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</si>
  <si>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</si>
  <si>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</si>
  <si>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</si>
  <si>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</si>
  <si>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</si>
  <si>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</si>
  <si>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</si>
  <si>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</si>
  <si>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</si>
  <si>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</si>
  <si>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</si>
  <si>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</si>
  <si>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</si>
  <si>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</si>
  <si>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</si>
  <si>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</si>
  <si>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</si>
  <si>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</si>
  <si>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</si>
  <si>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</si>
  <si>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</si>
  <si>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</si>
  <si>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</si>
  <si>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</si>
  <si>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</si>
  <si>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</si>
  <si>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</si>
  <si>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</si>
  <si>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</si>
  <si>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</si>
  <si>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</si>
  <si>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</si>
  <si>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</si>
  <si>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</si>
  <si>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</si>
  <si>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</si>
  <si>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</si>
  <si>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</si>
  <si>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</si>
  <si>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</si>
  <si>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</si>
  <si>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</si>
  <si>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</si>
  <si>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</si>
  <si>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</si>
  <si>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</si>
  <si>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</si>
  <si>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</si>
  <si>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</si>
  <si>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</si>
  <si>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</si>
  <si>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</si>
  <si>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</si>
  <si>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</si>
  <si>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</si>
  <si>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</si>
  <si>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</si>
  <si>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</si>
  <si>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</si>
  <si>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</si>
  <si>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</si>
  <si>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</si>
  <si>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</si>
  <si>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</si>
  <si>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</si>
  <si>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</si>
  <si>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</si>
  <si>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</si>
  <si>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</si>
  <si>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</si>
  <si>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</si>
  <si>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</si>
  <si>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</si>
  <si>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</si>
  <si>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</si>
  <si>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</si>
  <si>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</si>
  <si>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</si>
  <si>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</si>
  <si>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</si>
  <si>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</si>
  <si>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</si>
  <si>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</si>
  <si>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</si>
  <si>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</si>
  <si>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</si>
  <si>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</si>
  <si>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</si>
  <si>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</si>
  <si>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</si>
  <si>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</si>
  <si>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</si>
  <si>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</si>
  <si>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</si>
  <si>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</si>
  <si>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</si>
  <si>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</si>
  <si>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</si>
  <si>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</si>
  <si>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</si>
  <si>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</si>
  <si>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</si>
  <si>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</si>
  <si>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</si>
  <si>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</si>
  <si>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</si>
  <si>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</si>
  <si>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</si>
  <si>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</si>
  <si>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</si>
  <si>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</si>
  <si>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</si>
  <si>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</si>
  <si>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</si>
  <si>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</si>
  <si>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</si>
  <si>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</si>
  <si>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</si>
  <si>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</si>
  <si>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</si>
  <si>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</si>
  <si>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</si>
  <si>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</si>
  <si>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</si>
  <si>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</si>
  <si>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</si>
  <si>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</si>
  <si>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</si>
  <si>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</si>
  <si>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</si>
  <si>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</si>
  <si>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</si>
  <si>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</si>
  <si>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</si>
  <si>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</si>
  <si>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</si>
  <si>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</si>
  <si>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</si>
  <si>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</si>
  <si>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</si>
  <si>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</si>
  <si>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</si>
  <si>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</si>
  <si>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</si>
  <si>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</si>
  <si>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</si>
  <si>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</si>
  <si>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</si>
  <si>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</si>
  <si>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</si>
  <si>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</si>
  <si>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</si>
  <si>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</si>
  <si>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</si>
  <si>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</si>
  <si>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</si>
  <si>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</si>
  <si>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</si>
  <si>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</si>
  <si>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</si>
  <si>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</si>
  <si>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</si>
  <si>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</si>
  <si>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</si>
  <si>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</si>
  <si>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</si>
  <si>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</si>
  <si>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</si>
  <si>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</si>
  <si>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</si>
  <si>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</si>
  <si>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</si>
  <si>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</si>
  <si>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</si>
  <si>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</si>
  <si>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</si>
  <si>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</si>
  <si>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</si>
  <si>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</si>
  <si>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</si>
  <si>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</si>
  <si>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</si>
  <si>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</si>
  <si>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</si>
  <si>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</si>
  <si>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</si>
  <si>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</si>
  <si>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</si>
  <si>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</si>
  <si>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</si>
  <si>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</si>
  <si>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</si>
  <si>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</si>
  <si>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</si>
  <si>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</si>
  <si>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</si>
  <si>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</si>
  <si>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</si>
  <si>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</si>
  <si>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</si>
  <si>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</si>
  <si>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</si>
  <si>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</si>
  <si>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</si>
  <si>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</si>
  <si>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</si>
  <si>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</si>
  <si>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</si>
  <si>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</si>
  <si>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</si>
  <si>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</si>
  <si>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</si>
  <si>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</si>
  <si>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</si>
  <si>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</si>
  <si>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</si>
  <si>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</si>
  <si>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</si>
  <si>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</si>
  <si>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</si>
  <si>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</si>
  <si>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</si>
  <si>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</si>
  <si>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</si>
  <si>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</si>
  <si>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</si>
  <si>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</si>
  <si>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</si>
  <si>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</si>
  <si>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</si>
  <si>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</si>
  <si>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</si>
  <si>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</si>
  <si>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</si>
  <si>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</si>
  <si>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</si>
  <si>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</si>
  <si>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</si>
  <si>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</si>
  <si>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</si>
  <si>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</si>
  <si>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</si>
  <si>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</si>
  <si>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</si>
  <si>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</si>
  <si>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</si>
  <si>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</si>
  <si>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</si>
  <si>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</si>
  <si>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</si>
  <si>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</si>
  <si>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</si>
  <si>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</si>
  <si>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</si>
  <si>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</si>
  <si>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</si>
  <si>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</si>
  <si>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</si>
  <si>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</si>
  <si>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</si>
  <si>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</si>
  <si>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</si>
  <si>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</si>
  <si>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</si>
  <si>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</si>
  <si>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</si>
  <si>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</si>
  <si>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</si>
  <si>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</si>
  <si>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</si>
  <si>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</si>
  <si>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</si>
  <si>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</si>
  <si>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</si>
  <si>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</si>
  <si>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</si>
  <si>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</si>
  <si>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</si>
  <si>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</si>
  <si>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</si>
  <si>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</si>
  <si>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</si>
  <si>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</si>
  <si>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</si>
  <si>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</si>
  <si>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</si>
  <si>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</si>
  <si>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</si>
  <si>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</si>
  <si>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</si>
  <si>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</si>
  <si>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</si>
  <si>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</si>
  <si>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</si>
  <si>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</si>
  <si>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</si>
  <si>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</si>
  <si>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</si>
  <si>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</si>
  <si>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</si>
  <si>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</si>
  <si>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</si>
  <si>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</si>
  <si>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</si>
  <si>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</si>
  <si>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</si>
  <si>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</si>
  <si>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</si>
  <si>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</si>
  <si>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</si>
  <si>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</si>
  <si>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</si>
  <si>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</si>
  <si>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</si>
  <si>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</si>
  <si>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</si>
  <si>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</si>
  <si>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</si>
  <si>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</si>
  <si>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</si>
  <si>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</si>
  <si>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</si>
  <si>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</si>
  <si>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</si>
  <si>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</si>
  <si>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</si>
  <si>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</si>
  <si>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</si>
  <si>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</si>
  <si>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</si>
  <si>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</si>
  <si>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</si>
  <si>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</si>
  <si>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</si>
  <si>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</si>
  <si>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</si>
  <si>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</si>
  <si>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</si>
  <si>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</si>
  <si>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</si>
  <si>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</si>
  <si>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</si>
  <si>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</si>
  <si>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</si>
  <si>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</si>
  <si>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</si>
  <si>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</si>
  <si>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</si>
  <si>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</si>
  <si>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</si>
  <si>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</si>
  <si>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</si>
  <si>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</si>
  <si>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</si>
  <si>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</si>
  <si>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</si>
  <si>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</si>
  <si>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</si>
  <si>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</si>
  <si>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</si>
  <si>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</si>
  <si>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</si>
  <si>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</si>
  <si>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</si>
  <si>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</si>
  <si>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</si>
  <si>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</si>
  <si>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</si>
  <si>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</si>
  <si>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</si>
  <si>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</si>
  <si>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</si>
  <si>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</si>
  <si>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</si>
  <si>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</si>
  <si>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</si>
  <si>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</si>
  <si>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</si>
  <si>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</si>
  <si>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</si>
  <si>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</si>
  <si>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</si>
  <si>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</si>
  <si>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</si>
  <si>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</si>
  <si>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</si>
  <si>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</si>
  <si>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</si>
  <si>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</si>
  <si>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</si>
  <si>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</si>
  <si>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</si>
  <si>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</si>
  <si>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</si>
  <si>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</si>
  <si>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</si>
  <si>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</si>
  <si>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</si>
  <si>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</si>
  <si>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</si>
  <si>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</si>
  <si>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</si>
  <si>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</si>
  <si>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</si>
  <si>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</si>
  <si>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</si>
  <si>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</si>
  <si>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</si>
  <si>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</si>
  <si>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</si>
  <si>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</si>
  <si>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</si>
  <si>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</si>
  <si>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</si>
  <si>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</si>
  <si>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</si>
  <si>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</si>
  <si>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</si>
  <si>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</si>
  <si>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</si>
  <si>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</si>
  <si>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</si>
  <si>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</si>
  <si>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</si>
  <si>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</si>
  <si>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</si>
  <si>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</si>
  <si>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</si>
  <si>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</si>
  <si>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</si>
  <si>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</si>
  <si>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</si>
  <si>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</si>
  <si>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</si>
  <si>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</si>
  <si>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</si>
  <si>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</si>
  <si>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</si>
  <si>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</si>
  <si>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</si>
  <si>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</si>
  <si>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</si>
  <si>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</si>
  <si>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</si>
  <si>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</si>
  <si>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</si>
  <si>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</si>
  <si>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</si>
  <si>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</si>
  <si>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</si>
  <si>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</si>
  <si>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</si>
  <si>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</si>
  <si>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</si>
  <si>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</si>
  <si>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</si>
  <si>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</si>
  <si>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</si>
  <si>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</si>
  <si>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</si>
  <si>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</si>
  <si>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</si>
  <si>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</si>
  <si>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</si>
  <si>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</si>
  <si>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</si>
  <si>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</si>
  <si>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</si>
  <si>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</si>
  <si>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</si>
  <si>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</si>
  <si>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</si>
  <si>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</si>
  <si>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</si>
  <si>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</si>
  <si>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</si>
  <si>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</si>
  <si>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</si>
  <si>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</si>
  <si>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</si>
  <si>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</si>
  <si>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</si>
  <si>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</si>
  <si>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</si>
  <si>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</si>
  <si>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</si>
  <si>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</si>
  <si>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</si>
  <si>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</si>
  <si>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</si>
  <si>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</si>
  <si>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</si>
  <si>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</si>
  <si>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</si>
  <si>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</si>
  <si>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</si>
  <si>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</si>
  <si>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</si>
  <si>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</si>
  <si>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</si>
  <si>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</si>
  <si>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</si>
  <si>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</si>
  <si>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</si>
  <si>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</si>
  <si>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</si>
  <si>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</si>
  <si>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</si>
  <si>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</si>
  <si>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</si>
  <si>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</si>
  <si>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</si>
  <si>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</si>
  <si>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</si>
  <si>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</si>
  <si>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</si>
  <si>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</si>
  <si>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</si>
  <si>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</si>
  <si>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</si>
  <si>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</si>
  <si>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</si>
  <si>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</si>
  <si>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</si>
  <si>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</si>
  <si>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</si>
  <si>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</si>
  <si>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</si>
  <si>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</si>
  <si>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</si>
  <si>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</si>
  <si>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</si>
  <si>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</si>
  <si>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</si>
  <si>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</si>
  <si>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</si>
  <si>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</si>
  <si>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</si>
  <si>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</si>
  <si>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</si>
  <si>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</si>
  <si>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</si>
  <si>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</si>
  <si>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</si>
  <si>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</si>
  <si>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</si>
  <si>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</si>
  <si>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</si>
  <si>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</si>
  <si>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</si>
  <si>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</si>
  <si>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</si>
  <si>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</si>
  <si>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</si>
  <si>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</si>
  <si>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</si>
  <si>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</si>
  <si>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</si>
  <si>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</si>
  <si>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</si>
  <si>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</si>
  <si>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</si>
  <si>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</si>
  <si>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</si>
  <si>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</si>
  <si>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</si>
  <si>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</si>
  <si>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</si>
  <si>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</si>
  <si>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</si>
  <si>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</si>
  <si>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</si>
  <si>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</si>
  <si>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</si>
  <si>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</si>
  <si>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</si>
  <si>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</si>
  <si>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</si>
  <si>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</si>
  <si>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</si>
  <si>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</si>
  <si>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</si>
  <si>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</si>
  <si>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</si>
  <si>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</si>
  <si>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</si>
  <si>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</si>
  <si>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</si>
  <si>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</si>
  <si>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</si>
  <si>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</si>
  <si>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</si>
  <si>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</si>
  <si>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</si>
  <si>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</si>
  <si>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</si>
  <si>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</si>
  <si>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</si>
  <si>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</si>
  <si>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</si>
  <si>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</si>
  <si>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</si>
  <si>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</si>
  <si>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</si>
  <si>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</si>
  <si>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</si>
  <si>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</si>
  <si>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</si>
  <si>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</si>
  <si>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</si>
  <si>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</si>
  <si>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</si>
  <si>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</si>
  <si>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</si>
  <si>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</si>
  <si>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</si>
  <si>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</si>
  <si>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</si>
  <si>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</si>
  <si>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</si>
  <si>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</si>
  <si>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</si>
  <si>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</si>
  <si>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</si>
  <si>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</si>
  <si>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</si>
  <si>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</si>
  <si>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</si>
  <si>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</si>
  <si>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</si>
  <si>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</si>
  <si>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</si>
  <si>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</si>
  <si>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</si>
  <si>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</si>
  <si>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</si>
  <si>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</si>
  <si>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</si>
  <si>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</si>
  <si>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</si>
  <si>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</si>
  <si>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</si>
  <si>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</si>
  <si>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</si>
  <si>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</si>
  <si>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</si>
  <si>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</si>
  <si>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</si>
  <si>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</si>
  <si>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</si>
  <si>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</si>
  <si>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</si>
  <si>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</si>
  <si>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</si>
  <si>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</si>
  <si>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</si>
  <si>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</si>
  <si>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</si>
  <si>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</si>
  <si>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</si>
  <si>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</si>
  <si>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</si>
  <si>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</si>
  <si>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</si>
  <si>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</si>
  <si>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</si>
  <si>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</si>
  <si>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</si>
  <si>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</si>
  <si>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</si>
  <si>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</si>
  <si>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</si>
  <si>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</si>
  <si>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</si>
  <si>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</si>
  <si>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</si>
  <si>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</si>
  <si>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</si>
  <si>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</si>
  <si>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</si>
  <si>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</si>
  <si>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</si>
  <si>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</si>
  <si>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</si>
  <si>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</si>
  <si>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</si>
  <si>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</si>
  <si>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</si>
  <si>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</si>
  <si>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</si>
  <si>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</si>
  <si>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</si>
  <si>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</si>
  <si>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</si>
  <si>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</si>
  <si>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</si>
  <si>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</si>
  <si>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</si>
  <si>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</si>
  <si>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</si>
  <si>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</si>
  <si>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</si>
  <si>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</si>
  <si>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</si>
  <si>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</si>
  <si>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</si>
  <si>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</si>
  <si>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</si>
  <si>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</si>
  <si>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</si>
  <si>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</si>
  <si>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</si>
  <si>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</si>
  <si>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</si>
  <si>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</si>
  <si>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</si>
  <si>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</si>
  <si>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</si>
  <si>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</si>
  <si>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</si>
  <si>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</si>
  <si>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</si>
  <si>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</si>
  <si>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</si>
  <si>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</si>
  <si>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</si>
  <si>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</si>
  <si>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</si>
  <si>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</si>
  <si>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</si>
  <si>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</si>
  <si>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</si>
  <si>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</si>
  <si>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</si>
  <si>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</si>
  <si>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</si>
  <si>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</si>
  <si>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</si>
  <si>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</si>
  <si>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</si>
  <si>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</si>
  <si>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</si>
  <si>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</si>
  <si>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</si>
  <si>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</si>
  <si>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</si>
  <si>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</si>
  <si>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</si>
  <si>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</si>
  <si>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</si>
  <si>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</si>
  <si>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</si>
  <si>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</si>
  <si>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</si>
  <si>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</si>
  <si>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</si>
  <si>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</si>
  <si>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</si>
  <si>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</si>
  <si>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</si>
  <si>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</si>
  <si>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</si>
  <si>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</si>
  <si>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</si>
  <si>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</si>
  <si>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</si>
  <si>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</si>
  <si>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</si>
  <si>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</si>
  <si>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</si>
  <si>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</si>
  <si>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</si>
  <si>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</si>
  <si>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</si>
  <si>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</si>
  <si>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</si>
  <si>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</si>
  <si>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</si>
  <si>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</si>
  <si>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</si>
  <si>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</si>
  <si>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</si>
  <si>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</si>
  <si>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</si>
  <si>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</si>
  <si>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</si>
  <si>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</si>
  <si>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</si>
  <si>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</si>
  <si>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</si>
  <si>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</si>
  <si>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</si>
  <si>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</si>
  <si>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</si>
  <si>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</si>
  <si>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</si>
  <si>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</si>
  <si>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</si>
  <si>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</si>
  <si>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</si>
  <si>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</si>
  <si>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</si>
  <si>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</si>
  <si>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</si>
  <si>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</si>
  <si>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</si>
  <si>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</si>
  <si>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</si>
  <si>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</si>
  <si>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</si>
  <si>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</si>
  <si>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</si>
  <si>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</si>
  <si>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</si>
  <si>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</si>
  <si>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</si>
  <si>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</si>
  <si>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</si>
  <si>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</si>
  <si>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</si>
  <si>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</si>
  <si>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</si>
  <si>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</si>
  <si>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</si>
  <si>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</si>
  <si>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</si>
  <si>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</si>
  <si>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</si>
  <si>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</si>
  <si>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</si>
  <si>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</si>
  <si>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</si>
  <si>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</si>
  <si>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</si>
  <si>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</si>
  <si>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</si>
  <si>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</si>
  <si>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</si>
  <si>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</si>
  <si>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</si>
  <si>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</si>
  <si>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</si>
  <si>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</si>
  <si>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</si>
  <si>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</si>
  <si>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</si>
  <si>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</si>
  <si>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</si>
  <si>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</si>
  <si>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</si>
  <si>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</si>
  <si>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</si>
  <si>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</si>
  <si>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</si>
  <si>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</si>
  <si>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</si>
  <si>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</si>
  <si>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</si>
  <si>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</si>
  <si>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</si>
  <si>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</si>
  <si>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</si>
  <si>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</si>
  <si>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</si>
  <si>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</si>
  <si>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</si>
  <si>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</si>
  <si>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</si>
  <si>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</si>
  <si>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</si>
  <si>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</si>
  <si>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</si>
  <si>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</si>
  <si>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</si>
  <si>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</si>
  <si>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</si>
  <si>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</si>
  <si>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</si>
  <si>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</si>
  <si>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</si>
  <si>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</si>
  <si>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</si>
  <si>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</si>
  <si>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</si>
  <si>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</si>
  <si>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</si>
  <si>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</si>
  <si>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</si>
  <si>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</si>
  <si>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</si>
  <si>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</si>
  <si>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</si>
  <si>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</si>
  <si>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</si>
  <si>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</si>
  <si>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</si>
  <si>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</si>
  <si>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</si>
  <si>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</si>
  <si>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</si>
  <si>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</si>
  <si>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</si>
  <si>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</si>
  <si>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</si>
  <si>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</si>
  <si>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</si>
  <si>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</si>
  <si>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</si>
  <si>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</si>
  <si>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</si>
  <si>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</si>
  <si>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</si>
  <si>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</si>
  <si>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</si>
  <si>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</si>
  <si>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</si>
  <si>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</si>
  <si>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</si>
  <si>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</si>
  <si>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</si>
  <si>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</si>
  <si>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</si>
  <si>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</si>
  <si>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</si>
  <si>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</si>
  <si>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</si>
  <si>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</si>
  <si>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</si>
  <si>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</si>
  <si>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</si>
  <si>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</si>
  <si>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</si>
  <si>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</si>
  <si>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</si>
  <si>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</si>
  <si>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</si>
  <si>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</si>
  <si>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</si>
  <si>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</si>
  <si>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</si>
  <si>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</si>
  <si>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</si>
  <si>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</si>
  <si>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</si>
  <si>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</si>
  <si>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</si>
  <si>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</si>
  <si>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</si>
  <si>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</si>
  <si>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</si>
  <si>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</si>
  <si>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</si>
  <si>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</si>
  <si>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</si>
  <si>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</si>
  <si>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</si>
  <si>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</si>
  <si>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</si>
  <si>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</si>
  <si>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</si>
  <si>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</si>
  <si>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</si>
  <si>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</si>
  <si>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</si>
  <si>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</si>
  <si>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</si>
  <si>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</si>
  <si>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</si>
  <si>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</si>
  <si>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</si>
  <si>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</si>
  <si>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</si>
  <si>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</si>
  <si>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</si>
  <si>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</si>
  <si>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</si>
  <si>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</si>
  <si>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</si>
  <si>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</si>
  <si>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</si>
  <si>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</si>
  <si>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</si>
  <si>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</si>
  <si>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</si>
  <si>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</si>
  <si>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</si>
  <si>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</si>
  <si>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</si>
  <si>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</si>
  <si>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</si>
  <si>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</si>
  <si>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</si>
  <si>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</si>
  <si>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</si>
  <si>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</si>
  <si>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</si>
  <si>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</si>
  <si>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</si>
  <si>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</si>
  <si>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</si>
  <si>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</si>
  <si>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</si>
  <si>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</si>
  <si>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</si>
  <si>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</si>
  <si>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</si>
  <si>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</si>
  <si>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</si>
  <si>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</si>
  <si>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</si>
  <si>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</si>
  <si>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</si>
  <si>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</si>
  <si>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</si>
  <si>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</si>
  <si>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</si>
  <si>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</si>
  <si>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</si>
  <si>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</si>
  <si>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</si>
  <si>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</si>
  <si>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</si>
  <si>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</si>
  <si>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</si>
  <si>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</si>
  <si>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</si>
  <si>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</si>
  <si>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</si>
  <si>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</si>
  <si>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</si>
  <si>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</si>
  <si>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</si>
  <si>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</si>
  <si>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</si>
  <si>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</si>
  <si>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</si>
  <si>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</si>
  <si>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</si>
  <si>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</si>
  <si>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</si>
  <si>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</si>
  <si>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</si>
  <si>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</si>
  <si>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</si>
  <si>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</si>
  <si>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</si>
  <si>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</si>
  <si>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</si>
  <si>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</si>
  <si>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</si>
  <si>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</si>
  <si>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</si>
  <si>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</si>
  <si>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</si>
  <si>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</si>
  <si>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</si>
  <si>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</si>
  <si>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</si>
  <si>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</si>
  <si>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</si>
  <si>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</si>
  <si>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</si>
  <si>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</si>
  <si>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</si>
  <si>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</si>
  <si>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</si>
  <si>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</si>
  <si>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</si>
  <si>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</si>
  <si>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</si>
  <si>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</si>
  <si>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</si>
  <si>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</si>
  <si>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</si>
  <si>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</si>
  <si>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</si>
  <si>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</si>
  <si>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</si>
  <si>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</si>
  <si>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</si>
  <si>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</si>
  <si>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</si>
  <si>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</si>
  <si>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</si>
  <si>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</si>
  <si>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</si>
  <si>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</si>
  <si>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</si>
  <si>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</si>
  <si>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</si>
  <si>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</si>
  <si>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</si>
  <si>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</si>
  <si>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</si>
  <si>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</si>
  <si>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</si>
  <si>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</si>
  <si>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</si>
  <si>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</si>
  <si>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</si>
  <si>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</si>
  <si>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</si>
  <si>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</si>
  <si>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</si>
  <si>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</si>
  <si>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</si>
  <si>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</si>
  <si>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</si>
  <si>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</si>
  <si>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</si>
  <si>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</si>
  <si>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</si>
  <si>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</si>
  <si>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</si>
  <si>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</si>
  <si>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</si>
  <si>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</si>
  <si>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</si>
  <si>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</si>
  <si>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</si>
  <si>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</si>
  <si>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</si>
  <si>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</si>
  <si>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</si>
  <si>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</si>
  <si>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</si>
  <si>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</si>
  <si>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</si>
  <si>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</si>
  <si>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</si>
  <si>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</si>
  <si>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</si>
  <si>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</si>
  <si>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</si>
  <si>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</si>
  <si>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</si>
  <si>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</si>
  <si>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</si>
  <si>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</si>
  <si>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</si>
  <si>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</si>
  <si>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</si>
  <si>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</si>
  <si>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</si>
  <si>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</si>
  <si>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</si>
  <si>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</si>
  <si>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</si>
  <si>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</si>
  <si>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</si>
  <si>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</si>
  <si>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</si>
  <si>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</si>
  <si>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</si>
  <si>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</si>
  <si>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</si>
  <si>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</si>
  <si>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</si>
  <si>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</si>
  <si>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</si>
  <si>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</si>
  <si>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</si>
  <si>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</si>
  <si>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</si>
  <si>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</si>
  <si>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</si>
  <si>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</si>
  <si>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</si>
  <si>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</si>
  <si>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</si>
  <si>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</si>
  <si>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</si>
  <si>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</si>
  <si>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</si>
  <si>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</si>
  <si>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</si>
  <si>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</si>
  <si>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</si>
  <si>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</si>
  <si>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</si>
  <si>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</si>
  <si>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</si>
  <si>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</si>
  <si>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</si>
  <si>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</si>
  <si>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</si>
  <si>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</si>
  <si>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</si>
  <si>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</si>
  <si>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</si>
  <si>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</si>
  <si>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</si>
  <si>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</si>
  <si>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</si>
  <si>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</si>
  <si>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</si>
  <si>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</si>
  <si>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</si>
  <si>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</si>
  <si>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</si>
  <si>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</si>
  <si>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</si>
  <si>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</si>
  <si>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</si>
  <si>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</si>
  <si>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</si>
  <si>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</si>
  <si>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</si>
  <si>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</si>
  <si>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</si>
  <si>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</si>
  <si>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</si>
  <si>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</si>
  <si>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</si>
  <si>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</si>
  <si>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</si>
  <si>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</si>
  <si>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</si>
  <si>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</si>
  <si>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</si>
  <si>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</si>
  <si>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</si>
  <si>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</si>
  <si>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</si>
  <si>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</si>
  <si>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</si>
  <si>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</si>
  <si>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</si>
  <si>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</si>
  <si>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</si>
  <si>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</si>
  <si>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</si>
  <si>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</si>
  <si>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</si>
  <si>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</si>
  <si>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</si>
  <si>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</si>
  <si>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</si>
  <si>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</si>
  <si>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</si>
  <si>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</si>
  <si>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</si>
  <si>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</si>
  <si>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</si>
  <si>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</si>
  <si>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</si>
  <si>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</si>
  <si>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</si>
  <si>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</si>
  <si>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</si>
  <si>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</si>
  <si>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</si>
  <si>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</si>
  <si>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</si>
  <si>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</si>
  <si>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</si>
  <si>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</si>
  <si>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</si>
  <si>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</si>
  <si>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</si>
  <si>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</si>
  <si>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</si>
  <si>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</si>
  <si>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</si>
  <si>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</si>
  <si>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</si>
  <si>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</si>
  <si>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</si>
  <si>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</si>
  <si>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</si>
  <si>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</si>
  <si>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</si>
  <si>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</si>
  <si>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</si>
  <si>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</si>
  <si>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</si>
  <si>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</si>
  <si>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</si>
  <si>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</si>
  <si>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</si>
  <si>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</si>
  <si>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</si>
  <si>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</si>
  <si>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</si>
  <si>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</si>
  <si>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</si>
  <si>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</si>
  <si>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</si>
  <si>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</si>
  <si>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</si>
  <si>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</si>
  <si>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</si>
  <si>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</si>
  <si>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</si>
  <si>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</si>
  <si>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</si>
  <si>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</si>
  <si>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</si>
  <si>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</si>
  <si>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</si>
  <si>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</si>
  <si>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</si>
  <si>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</si>
  <si>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</si>
  <si>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</si>
  <si>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</si>
  <si>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</si>
  <si>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</si>
  <si>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</si>
  <si>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</si>
  <si>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</si>
  <si>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</si>
  <si>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</si>
  <si>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</si>
  <si>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</si>
  <si>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</si>
  <si>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</si>
  <si>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</si>
  <si>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</si>
  <si>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</si>
  <si>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</si>
  <si>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</si>
  <si>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</si>
  <si>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</si>
  <si>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</si>
  <si>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</si>
  <si>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</si>
  <si>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</si>
  <si>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</si>
  <si>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</si>
  <si>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</si>
  <si>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</si>
  <si>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</si>
  <si>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</si>
  <si>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</si>
  <si>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</si>
  <si>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</si>
  <si>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</si>
  <si>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</si>
  <si>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</si>
  <si>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</si>
  <si>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</si>
  <si>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</si>
  <si>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</si>
  <si>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</si>
  <si>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</si>
  <si>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</si>
  <si>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</si>
  <si>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</si>
  <si>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</si>
  <si>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</si>
  <si>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</si>
  <si>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</si>
  <si>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</si>
  <si>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</si>
  <si>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</si>
  <si>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</si>
  <si>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</si>
  <si>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</si>
  <si>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</si>
  <si>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</si>
  <si>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</si>
  <si>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</si>
  <si>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</si>
  <si>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</si>
  <si>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</si>
  <si>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</si>
  <si>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</si>
  <si>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</si>
  <si>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</si>
  <si>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</si>
  <si>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</si>
  <si>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</si>
  <si>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</si>
  <si>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</si>
  <si>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</si>
  <si>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</si>
  <si>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</si>
  <si>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</si>
  <si>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</si>
  <si>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</si>
  <si>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</si>
  <si>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</si>
  <si>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</si>
  <si>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</si>
  <si>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</si>
  <si>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</si>
  <si>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</si>
  <si>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</si>
  <si>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</si>
  <si>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</si>
  <si>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</si>
  <si>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</si>
  <si>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</si>
  <si>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</si>
  <si>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</si>
  <si>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</si>
  <si>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</si>
  <si>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</si>
  <si>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</si>
  <si>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</si>
  <si>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</si>
  <si>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</si>
  <si>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</si>
  <si>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</si>
  <si>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</si>
  <si>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</si>
  <si>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</si>
  <si>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</si>
  <si>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</si>
  <si>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</si>
  <si>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</si>
  <si>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</si>
  <si>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</si>
  <si>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</si>
  <si>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</si>
  <si>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</si>
  <si>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</si>
  <si>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</si>
  <si>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</si>
  <si>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</si>
  <si>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</si>
  <si>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</si>
  <si>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</si>
  <si>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</si>
  <si>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</si>
  <si>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</si>
  <si>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</si>
  <si>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</si>
  <si>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</si>
  <si>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</si>
  <si>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</si>
  <si>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</si>
  <si>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</si>
  <si>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</si>
  <si>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</si>
  <si>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</si>
  <si>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</si>
  <si>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</si>
  <si>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</si>
  <si>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</si>
  <si>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</si>
  <si>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</si>
  <si>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</si>
  <si>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</si>
  <si>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</si>
  <si>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</si>
  <si>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</si>
  <si>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</si>
  <si>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</si>
  <si>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</si>
  <si>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</si>
  <si>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</si>
  <si>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</si>
  <si>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</si>
  <si>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</si>
  <si>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</si>
  <si>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</si>
  <si>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</si>
  <si>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</si>
  <si>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</si>
  <si>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</si>
  <si>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</si>
  <si>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</si>
  <si>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</si>
  <si>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</si>
  <si>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</si>
  <si>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</si>
  <si>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</si>
  <si>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</si>
  <si>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</si>
  <si>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</si>
  <si>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</si>
  <si>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</si>
  <si>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</si>
  <si>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</si>
  <si>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</si>
  <si>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</si>
  <si>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</si>
  <si>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</si>
  <si>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</si>
  <si>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</si>
  <si>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</si>
  <si>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</si>
  <si>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</si>
  <si>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</si>
  <si>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</si>
  <si>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</si>
  <si>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</si>
  <si>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</si>
  <si>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</si>
  <si>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</si>
  <si>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</si>
  <si>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</si>
  <si>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</si>
  <si>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</si>
  <si>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</si>
  <si>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</si>
  <si>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</si>
  <si>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</si>
  <si>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</si>
  <si>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</si>
  <si>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</si>
  <si>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</si>
  <si>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</si>
  <si>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</si>
  <si>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</si>
  <si>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</si>
  <si>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</si>
  <si>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</si>
  <si>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</si>
  <si>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</si>
  <si>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</si>
  <si>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</si>
  <si>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</si>
  <si>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</si>
  <si>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</si>
  <si>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</si>
  <si>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</si>
  <si>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</si>
  <si>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</si>
  <si>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</si>
  <si>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</si>
  <si>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</si>
  <si>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</si>
  <si>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</si>
  <si>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</si>
  <si>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</si>
  <si>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</si>
  <si>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</si>
  <si>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</si>
  <si>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</si>
  <si>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</si>
  <si>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</si>
  <si>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</si>
  <si>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</si>
  <si>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</si>
  <si>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</si>
  <si>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</si>
  <si>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</si>
  <si>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</si>
  <si>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</si>
  <si>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</si>
  <si>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</si>
  <si>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</si>
  <si>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</si>
  <si>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</si>
  <si>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</si>
  <si>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</si>
  <si>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</si>
  <si>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</si>
  <si>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</si>
  <si>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</si>
  <si>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</si>
  <si>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</si>
  <si>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</si>
  <si>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</si>
  <si>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</si>
  <si>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</si>
  <si>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</si>
  <si>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</si>
  <si>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</si>
  <si>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</si>
  <si>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</si>
  <si>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</si>
  <si>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</si>
  <si>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</si>
  <si>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</si>
  <si>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</si>
  <si>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</si>
  <si>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</si>
  <si>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</si>
  <si>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</si>
  <si>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</si>
  <si>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</si>
  <si>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</si>
  <si>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</si>
  <si>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</si>
  <si>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</si>
  <si>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</si>
  <si>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</si>
  <si>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</si>
  <si>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</si>
  <si>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</si>
  <si>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</si>
  <si>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</si>
  <si>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</si>
  <si>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</si>
  <si>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</si>
  <si>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</si>
  <si>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</si>
  <si>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</si>
  <si>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</si>
  <si>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</si>
  <si>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</si>
  <si>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</si>
  <si>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</si>
  <si>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</si>
  <si>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</si>
  <si>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</si>
  <si>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</si>
  <si>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</si>
  <si>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</si>
  <si>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</si>
  <si>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</si>
  <si>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</si>
  <si>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</si>
  <si>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</si>
  <si>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</si>
  <si>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</si>
  <si>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</si>
  <si>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</si>
  <si>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</si>
  <si>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</si>
  <si>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</si>
  <si>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</si>
  <si>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</si>
  <si>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</si>
  <si>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</si>
  <si>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</si>
  <si>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</si>
  <si>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</si>
  <si>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</si>
  <si>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</si>
  <si>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</si>
  <si>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</si>
  <si>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</si>
  <si>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</si>
  <si>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</si>
  <si>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</si>
  <si>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</si>
  <si>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</si>
  <si>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</si>
  <si>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</si>
  <si>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</si>
  <si>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</si>
  <si>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</si>
  <si>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</si>
  <si>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</si>
  <si>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</si>
  <si>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</si>
  <si>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</si>
  <si>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</si>
  <si>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</si>
  <si>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</si>
  <si>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</si>
  <si>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</si>
  <si>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</si>
  <si>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</si>
  <si>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</si>
  <si>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</si>
  <si>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</si>
  <si>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</si>
  <si>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</si>
  <si>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</si>
  <si>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</si>
  <si>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</si>
  <si>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</si>
  <si>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</si>
  <si>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</si>
  <si>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</si>
  <si>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</si>
  <si>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</si>
  <si>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</si>
  <si>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</si>
  <si>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</si>
  <si>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</si>
  <si>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</si>
  <si>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</si>
  <si>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</si>
  <si>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</si>
  <si>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</si>
  <si>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</si>
  <si>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</si>
  <si>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</si>
  <si>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</si>
  <si>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</si>
  <si>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</si>
  <si>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</si>
  <si>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</si>
  <si>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</si>
  <si>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</si>
  <si>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</si>
  <si>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</si>
  <si>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</si>
  <si>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</si>
  <si>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</si>
  <si>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</si>
  <si>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</si>
  <si>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</si>
  <si>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</si>
  <si>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</si>
  <si>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</si>
  <si>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</si>
  <si>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</si>
  <si>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</si>
  <si>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</si>
  <si>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</si>
  <si>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</si>
  <si>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</si>
  <si>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</si>
  <si>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</si>
  <si>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</si>
  <si>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</si>
  <si>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</si>
  <si>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</si>
  <si>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</si>
  <si>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</si>
  <si>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</si>
  <si>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</si>
  <si>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</si>
  <si>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</si>
  <si>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</si>
  <si>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</si>
  <si>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</si>
  <si>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</si>
  <si>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</si>
  <si>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</si>
  <si>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</si>
  <si>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</si>
  <si>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</si>
  <si>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</si>
  <si>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</si>
  <si>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</si>
  <si>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</si>
  <si>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</si>
  <si>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</si>
  <si>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</si>
  <si>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</si>
  <si>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</si>
  <si>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</si>
  <si>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</si>
  <si>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</si>
  <si>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</si>
  <si>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</si>
  <si>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</si>
  <si>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</si>
  <si>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</si>
  <si>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</si>
  <si>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</si>
  <si>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</si>
  <si>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</si>
  <si>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</si>
  <si>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</si>
  <si>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</si>
  <si>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</si>
  <si>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</si>
  <si>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</si>
  <si>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</si>
  <si>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</si>
  <si>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</si>
  <si>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</si>
  <si>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</si>
  <si>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</si>
  <si>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</si>
  <si>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</si>
  <si>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</si>
  <si>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</si>
  <si>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</si>
  <si>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</si>
  <si>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</si>
  <si>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</si>
  <si>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</si>
  <si>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</si>
  <si>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</si>
  <si>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</si>
  <si>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</si>
  <si>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</si>
  <si>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</si>
  <si>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</si>
  <si>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</si>
  <si>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</si>
  <si>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</si>
  <si>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</si>
  <si>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</si>
  <si>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</si>
  <si>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</si>
  <si>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</si>
  <si>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</si>
  <si>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</si>
  <si>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</si>
  <si>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</si>
  <si>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</si>
  <si>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</si>
  <si>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</si>
  <si>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</si>
  <si>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</si>
  <si>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</si>
  <si>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</si>
  <si>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</si>
  <si>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</si>
  <si>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</si>
  <si>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</si>
  <si>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</si>
  <si>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</si>
  <si>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</si>
  <si>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</si>
  <si>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</si>
  <si>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</si>
  <si>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</si>
  <si>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</si>
  <si>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</si>
  <si>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</si>
  <si>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</si>
  <si>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</si>
  <si>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</si>
  <si>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</si>
  <si>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</si>
  <si>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</si>
  <si>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</si>
  <si>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</si>
  <si>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</si>
  <si>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</si>
  <si>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</si>
  <si>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</si>
  <si>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</si>
  <si>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</si>
  <si>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</si>
  <si>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</si>
  <si>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</si>
  <si>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</si>
  <si>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</si>
  <si>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</si>
  <si>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</si>
  <si>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</si>
  <si>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</si>
  <si>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</si>
  <si>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</si>
  <si>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</si>
  <si>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</si>
  <si>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</si>
  <si>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</si>
  <si>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</si>
  <si>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</si>
  <si>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</si>
  <si>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</si>
  <si>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</si>
  <si>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</si>
  <si>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</si>
  <si>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</si>
  <si>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</si>
  <si>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</si>
  <si>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</si>
  <si>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</si>
  <si>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</si>
  <si>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</si>
  <si>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</si>
  <si>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</si>
  <si>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</si>
  <si>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</si>
  <si>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</si>
  <si>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</si>
  <si>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</si>
  <si>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</si>
  <si>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</si>
  <si>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</si>
  <si>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</si>
  <si>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</si>
  <si>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</si>
  <si>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</si>
  <si>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</si>
  <si>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</si>
  <si>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</si>
  <si>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</si>
  <si>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</si>
  <si>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</si>
  <si>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</si>
  <si>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</si>
  <si>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</si>
  <si>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</si>
  <si>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</si>
  <si>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</si>
  <si>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</si>
  <si>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</si>
  <si>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</si>
  <si>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</si>
  <si>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</si>
  <si>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</si>
  <si>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</si>
  <si>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</si>
  <si>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</si>
  <si>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</si>
  <si>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</si>
  <si>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</si>
  <si>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</si>
  <si>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</si>
  <si>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</si>
  <si>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</si>
  <si>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</si>
  <si>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</si>
  <si>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</si>
  <si>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</si>
  <si>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</si>
  <si>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</si>
  <si>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</si>
  <si>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</si>
  <si>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</si>
  <si>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</si>
  <si>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</si>
  <si>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</si>
  <si>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</si>
  <si>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</si>
  <si>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</si>
  <si>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</si>
  <si>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</si>
  <si>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</si>
  <si>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</si>
  <si>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</si>
  <si>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</si>
  <si>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</si>
  <si>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</si>
  <si>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</si>
  <si>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</si>
  <si>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</si>
  <si>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</si>
  <si>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</si>
  <si>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</si>
  <si>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</si>
  <si>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</si>
  <si>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</si>
  <si>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</si>
  <si>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</si>
  <si>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</si>
  <si>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</si>
  <si>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</si>
  <si>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</si>
  <si>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</si>
  <si>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</si>
  <si>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</si>
  <si>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</si>
  <si>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</si>
  <si>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</si>
  <si>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</si>
  <si>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</si>
  <si>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</si>
  <si>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</si>
  <si>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</si>
  <si>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</si>
  <si>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</si>
  <si>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</si>
  <si>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</si>
  <si>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</si>
  <si>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</si>
  <si>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</si>
  <si>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</si>
  <si>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</si>
  <si>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</si>
  <si>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</si>
  <si>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</si>
  <si>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</si>
  <si>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</si>
  <si>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</si>
  <si>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</si>
  <si>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</si>
  <si>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</si>
  <si>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</si>
  <si>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</si>
  <si>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</si>
  <si>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</si>
  <si>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</si>
  <si>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</si>
  <si>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</si>
  <si>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</si>
  <si>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</si>
  <si>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</si>
  <si>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</si>
  <si>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</si>
  <si>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</si>
  <si>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</si>
  <si>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</si>
  <si>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</si>
  <si>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</si>
  <si>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</si>
  <si>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</si>
  <si>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</si>
  <si>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</si>
  <si>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</si>
  <si>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</si>
  <si>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</si>
  <si>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</si>
  <si>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</si>
  <si>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</si>
  <si>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</si>
  <si>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</si>
  <si>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</si>
  <si>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</si>
  <si>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</si>
  <si>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</si>
  <si>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</si>
  <si>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</si>
  <si>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</si>
  <si>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</si>
  <si>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</si>
  <si>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</si>
  <si>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</si>
  <si>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</si>
  <si>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</si>
  <si>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</si>
  <si>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</si>
  <si>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</si>
  <si>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</si>
  <si>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</si>
  <si>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</si>
  <si>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</si>
  <si>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</si>
  <si>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</si>
  <si>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</si>
  <si>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</si>
  <si>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</si>
  <si>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</si>
  <si>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</si>
  <si>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</si>
  <si>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</si>
  <si>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</si>
  <si>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</si>
  <si>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</si>
  <si>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</si>
  <si>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</si>
  <si>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</si>
  <si>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</si>
  <si>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</si>
  <si>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</si>
  <si>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</si>
  <si>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</si>
  <si>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</si>
  <si>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</si>
  <si>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</si>
  <si>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</si>
  <si>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</si>
  <si>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</si>
  <si>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</si>
  <si>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</si>
  <si>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</si>
  <si>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</si>
  <si>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</si>
  <si>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</si>
  <si>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</si>
  <si>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</si>
  <si>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</si>
  <si>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</si>
  <si>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</si>
  <si>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</si>
  <si>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</si>
  <si>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</si>
  <si>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</si>
  <si>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</si>
  <si>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</si>
  <si>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</si>
  <si>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</si>
  <si>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</si>
  <si>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</si>
  <si>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</si>
  <si>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</si>
  <si>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</si>
  <si>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</si>
  <si>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</si>
  <si>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</si>
  <si>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</si>
  <si>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</si>
  <si>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</si>
  <si>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</si>
  <si>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</si>
  <si>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</si>
  <si>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</si>
  <si>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</si>
  <si>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</si>
  <si>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</si>
  <si>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</si>
  <si>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</si>
  <si>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</si>
  <si>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</si>
  <si>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</si>
  <si>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</si>
  <si>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</si>
  <si>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</si>
  <si>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</si>
  <si>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</si>
  <si>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</si>
  <si>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</si>
  <si>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</si>
  <si>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</si>
  <si>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</si>
  <si>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</si>
  <si>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</si>
  <si>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</si>
  <si>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</si>
  <si>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</si>
  <si>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</si>
  <si>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</si>
  <si>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</si>
  <si>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</si>
  <si>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</si>
  <si>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</si>
  <si>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</si>
  <si>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</si>
  <si>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</si>
  <si>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</si>
  <si>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</si>
  <si>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</si>
  <si>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</si>
  <si>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</si>
  <si>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</si>
  <si>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</si>
  <si>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</si>
  <si>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</si>
  <si>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</si>
  <si>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</si>
  <si>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</si>
  <si>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</si>
  <si>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</si>
  <si>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</si>
  <si>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</si>
  <si>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</si>
  <si>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</si>
  <si>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</si>
  <si>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</si>
  <si>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</si>
  <si>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</si>
  <si>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</si>
  <si>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</si>
  <si>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</si>
  <si>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</si>
  <si>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</si>
  <si>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</si>
  <si>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</si>
  <si>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</si>
  <si>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</si>
  <si>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</si>
  <si>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</si>
  <si>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</si>
  <si>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</si>
  <si>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</si>
  <si>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</si>
  <si>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</si>
  <si>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</si>
  <si>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</si>
  <si>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</si>
  <si>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</si>
  <si>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</si>
  <si>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</si>
  <si>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</si>
  <si>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</si>
  <si>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</si>
  <si>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</si>
  <si>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</si>
  <si>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</si>
  <si>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</si>
  <si>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</si>
  <si>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</si>
  <si>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</si>
  <si>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</si>
  <si>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</si>
  <si>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</si>
  <si>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</si>
  <si>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</si>
  <si>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</si>
  <si>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</si>
  <si>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</si>
  <si>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</si>
  <si>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</si>
  <si>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</si>
  <si>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</si>
  <si>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</si>
  <si>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</si>
  <si>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</si>
  <si>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</si>
  <si>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</si>
  <si>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</si>
  <si>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</si>
  <si>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</si>
  <si>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</si>
  <si>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</si>
  <si>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</si>
  <si>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</si>
  <si>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</si>
  <si>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</si>
  <si>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</si>
  <si>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</si>
  <si>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</si>
  <si>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</si>
  <si>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</si>
  <si>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</si>
  <si>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</si>
  <si>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</si>
  <si>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</si>
  <si>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</si>
  <si>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</si>
  <si>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</si>
  <si>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</si>
  <si>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</si>
  <si>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</si>
  <si>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</si>
  <si>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</si>
  <si>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</si>
  <si>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</si>
  <si>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</si>
  <si>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</si>
  <si>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</si>
  <si>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</si>
  <si>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</si>
  <si>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</si>
  <si>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</si>
  <si>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</si>
  <si>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</si>
  <si>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</si>
  <si>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</si>
  <si>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</si>
  <si>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</si>
  <si>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</si>
  <si>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</si>
  <si>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</si>
  <si>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</si>
  <si>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</si>
  <si>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</si>
  <si>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</si>
  <si>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</si>
  <si>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</si>
  <si>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</si>
  <si>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</si>
  <si>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</si>
  <si>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</si>
  <si>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</si>
  <si>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</si>
  <si>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</si>
  <si>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</si>
  <si>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</si>
  <si>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</si>
  <si>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</si>
  <si>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</si>
  <si>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</si>
  <si>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</si>
  <si>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</si>
  <si>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</si>
  <si>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</si>
  <si>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</si>
  <si>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</si>
  <si>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</si>
  <si>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</si>
  <si>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</si>
  <si>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</si>
  <si>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</si>
  <si>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</si>
  <si>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</si>
  <si>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</si>
  <si>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</si>
  <si>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</si>
  <si>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</si>
  <si>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</si>
  <si>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</si>
  <si>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</si>
  <si>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</si>
  <si>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</si>
  <si>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</si>
  <si>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</si>
  <si>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</si>
  <si>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</si>
  <si>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</si>
  <si>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</si>
  <si>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</si>
  <si>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</si>
  <si>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</si>
  <si>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</si>
  <si>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</si>
  <si>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</si>
  <si>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</si>
  <si>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</si>
  <si>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</si>
  <si>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</si>
  <si>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</si>
  <si>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</si>
  <si>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</si>
  <si>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</si>
  <si>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</si>
  <si>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</si>
  <si>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</si>
  <si>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</si>
  <si>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</si>
  <si>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</si>
  <si>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</si>
  <si>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</si>
  <si>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</si>
  <si>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</si>
  <si>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</si>
  <si>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</si>
  <si>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</si>
  <si>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</si>
  <si>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</si>
  <si>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</si>
  <si>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</si>
  <si>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</si>
  <si>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</si>
  <si>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</si>
  <si>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</si>
  <si>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</si>
  <si>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</si>
  <si>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</si>
  <si>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</si>
  <si>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</si>
  <si>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</si>
  <si>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</si>
  <si>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</si>
  <si>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</si>
  <si>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</si>
  <si>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</si>
  <si>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</si>
  <si>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</si>
  <si>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</si>
  <si>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</si>
  <si>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</si>
  <si>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</si>
  <si>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</si>
  <si>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</si>
  <si>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</si>
  <si>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</si>
  <si>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</si>
  <si>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</si>
  <si>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</si>
  <si>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</si>
  <si>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</si>
  <si>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</si>
  <si>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</si>
  <si>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</si>
  <si>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</si>
  <si>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</si>
  <si>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</si>
  <si>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</si>
  <si>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</si>
  <si>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</si>
  <si>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</si>
  <si>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</si>
  <si>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</si>
  <si>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</si>
  <si>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</si>
  <si>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</si>
  <si>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</si>
  <si>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</si>
  <si>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</si>
  <si>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</si>
  <si>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</si>
  <si>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</si>
  <si>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</si>
  <si>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</si>
  <si>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</si>
  <si>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</si>
  <si>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</si>
  <si>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</si>
  <si>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</si>
  <si>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</si>
  <si>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</si>
  <si>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</si>
  <si>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</si>
  <si>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</si>
  <si>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</si>
  <si>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</si>
  <si>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</si>
  <si>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</si>
  <si>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</si>
  <si>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</si>
  <si>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</si>
  <si>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</si>
  <si>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</si>
  <si>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</si>
  <si>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</si>
  <si>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</si>
  <si>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</si>
  <si>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</si>
  <si>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</si>
  <si>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</si>
  <si>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</si>
  <si>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</si>
  <si>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</si>
  <si>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</si>
  <si>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</si>
  <si>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</si>
  <si>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</si>
  <si>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</si>
  <si>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</si>
  <si>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</si>
  <si>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</si>
  <si>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</si>
  <si>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</si>
  <si>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</si>
  <si>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</si>
  <si>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</si>
  <si>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</si>
  <si>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</si>
  <si>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</si>
  <si>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</si>
  <si>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</si>
  <si>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</si>
  <si>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</si>
  <si>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</si>
  <si>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</si>
  <si>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</si>
  <si>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</si>
  <si>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</si>
  <si>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</si>
  <si>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</si>
  <si>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</si>
  <si>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</si>
  <si>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</si>
  <si>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</si>
  <si>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</si>
  <si>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</si>
  <si>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</si>
  <si>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</si>
  <si>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</si>
  <si>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</si>
  <si>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</si>
  <si>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</si>
  <si>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</si>
  <si>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</si>
  <si>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</si>
  <si>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</si>
  <si>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</si>
  <si>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</si>
  <si>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</si>
  <si>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</si>
  <si>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</si>
  <si>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</si>
  <si>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</si>
  <si>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</si>
  <si>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</si>
  <si>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</si>
  <si>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</si>
  <si>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</si>
  <si>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</si>
  <si>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</si>
  <si>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</si>
  <si>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</si>
  <si>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</si>
  <si>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</si>
  <si>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</si>
  <si>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</si>
  <si>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</si>
  <si>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</si>
  <si>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</si>
  <si>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</si>
  <si>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</si>
  <si>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</si>
  <si>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</si>
  <si>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</si>
  <si>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</si>
  <si>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</si>
  <si>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</si>
  <si>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</si>
  <si>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</si>
  <si>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</si>
  <si>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</si>
  <si>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</si>
  <si>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</si>
  <si>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</si>
  <si>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</si>
  <si>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</si>
  <si>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</si>
  <si>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</si>
  <si>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</si>
  <si>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</si>
  <si>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</si>
  <si>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</si>
  <si>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</si>
  <si>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</si>
  <si>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</si>
  <si>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</si>
  <si>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</si>
  <si>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</si>
  <si>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</si>
  <si>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</si>
  <si>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</si>
  <si>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</si>
  <si>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</si>
  <si>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</si>
  <si>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</si>
  <si>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</si>
  <si>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</si>
  <si>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</si>
  <si>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</si>
  <si>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</si>
  <si>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</si>
  <si>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</si>
  <si>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</si>
  <si>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</si>
  <si>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</si>
  <si>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</si>
  <si>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</si>
  <si>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</si>
  <si>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</si>
  <si>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</si>
  <si>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</si>
  <si>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</si>
  <si>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</si>
  <si>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</si>
  <si>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</si>
  <si>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</si>
  <si>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</si>
  <si>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</si>
  <si>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</si>
  <si>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</si>
  <si>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</si>
  <si>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</si>
  <si>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</si>
  <si>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</si>
  <si>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</si>
  <si>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</si>
  <si>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</si>
  <si>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</si>
  <si>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</si>
  <si>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</si>
  <si>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</si>
  <si>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</si>
  <si>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</si>
  <si>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</si>
  <si>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</si>
  <si>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</si>
  <si>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</si>
  <si>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</si>
  <si>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</si>
  <si>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</si>
  <si>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</si>
  <si>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</si>
  <si>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</si>
  <si>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</si>
  <si>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</si>
  <si>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</si>
  <si>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</si>
  <si>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</si>
  <si>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</si>
  <si>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</si>
  <si>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</si>
  <si>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</si>
  <si>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</si>
  <si>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</si>
  <si>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</si>
  <si>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</si>
  <si>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</si>
  <si>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</si>
  <si>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</si>
  <si>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</si>
  <si>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</si>
  <si>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</si>
  <si>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</si>
  <si>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</si>
  <si>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</si>
  <si>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</si>
  <si>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</si>
  <si>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</si>
  <si>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</si>
  <si>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</si>
  <si>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</si>
  <si>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</si>
  <si>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</si>
  <si>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</si>
  <si>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</si>
  <si>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</si>
  <si>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</si>
  <si>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</si>
  <si>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</si>
  <si>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</si>
  <si>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</si>
  <si>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</si>
  <si>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</si>
  <si>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</si>
  <si>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</si>
  <si>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</si>
  <si>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</si>
  <si>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</si>
  <si>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</si>
  <si>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</si>
  <si>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</si>
  <si>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</si>
  <si>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</si>
  <si>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</si>
  <si>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</si>
  <si>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</si>
  <si>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</si>
  <si>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</si>
  <si>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</si>
  <si>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</si>
  <si>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</si>
  <si>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</si>
  <si>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</si>
  <si>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</si>
  <si>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</si>
  <si>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</si>
  <si>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</si>
  <si>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</si>
  <si>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</si>
  <si>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</si>
  <si>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</si>
  <si>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</si>
  <si>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</si>
  <si>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</si>
  <si>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</si>
  <si>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</si>
  <si>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</si>
  <si>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</si>
  <si>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</si>
  <si>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</si>
  <si>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</si>
  <si>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</si>
  <si>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</si>
  <si>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</si>
  <si>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</si>
  <si>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</si>
  <si>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</si>
  <si>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</si>
  <si>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</si>
  <si>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</si>
  <si>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</si>
  <si>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</si>
  <si>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</si>
  <si>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</si>
  <si>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</si>
  <si>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</si>
  <si>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</si>
  <si>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</si>
  <si>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</si>
  <si>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</si>
  <si>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</si>
  <si>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</si>
  <si>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</si>
  <si>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</si>
  <si>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</si>
  <si>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</si>
  <si>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</si>
  <si>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</si>
  <si>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</si>
  <si>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</si>
  <si>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</si>
  <si>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</si>
  <si>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</si>
  <si>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</si>
  <si>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</si>
  <si>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</si>
  <si>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</si>
  <si>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</si>
  <si>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</si>
  <si>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</si>
  <si>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</si>
  <si>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</si>
  <si>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</si>
  <si>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</si>
  <si>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</si>
  <si>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</si>
  <si>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</si>
  <si>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</si>
  <si>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</si>
  <si>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</si>
  <si>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</si>
  <si>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</si>
  <si>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</si>
  <si>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</si>
  <si>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</si>
  <si>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</si>
  <si>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</si>
  <si>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</si>
  <si>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</si>
  <si>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</si>
  <si>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</si>
  <si>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</si>
  <si>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</si>
  <si>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</si>
  <si>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</si>
  <si>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</si>
  <si>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</si>
  <si>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</si>
  <si>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</si>
  <si>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</si>
  <si>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</si>
  <si>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</si>
  <si>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</si>
  <si>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</si>
  <si>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</si>
  <si>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</si>
  <si>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</si>
  <si>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</si>
  <si>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</si>
  <si>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</si>
  <si>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</si>
  <si>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</si>
  <si>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</si>
  <si>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</si>
  <si>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</si>
  <si>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</si>
  <si>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</si>
  <si>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</si>
  <si>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</si>
  <si>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</si>
  <si>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</si>
  <si>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</si>
  <si>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</si>
  <si>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</si>
  <si>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</si>
  <si>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</si>
  <si>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</si>
  <si>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</si>
  <si>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</si>
  <si>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</si>
  <si>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</si>
  <si>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</si>
  <si>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</si>
  <si>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</si>
  <si>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</si>
  <si>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</si>
  <si>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</si>
  <si>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</si>
  <si>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</si>
  <si>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</si>
  <si>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</si>
  <si>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</si>
  <si>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</si>
  <si>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</si>
  <si>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</si>
  <si>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</si>
  <si>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</si>
  <si>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</si>
  <si>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</si>
  <si>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</si>
  <si>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</si>
  <si>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</si>
  <si>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</si>
  <si>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</si>
  <si>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</si>
  <si>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</si>
  <si>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</si>
  <si>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</si>
  <si>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</si>
  <si>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</si>
  <si>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</si>
  <si>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</si>
  <si>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</si>
  <si>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</si>
  <si>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</si>
  <si>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</si>
  <si>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</si>
  <si>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</si>
  <si>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</si>
  <si>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</si>
  <si>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</si>
  <si>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</si>
  <si>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</si>
  <si>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</si>
  <si>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</si>
  <si>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</si>
  <si>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</si>
  <si>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</si>
  <si>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</si>
  <si>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</si>
  <si>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</si>
  <si>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</si>
  <si>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</si>
  <si>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</si>
  <si>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</si>
  <si>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</si>
  <si>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</si>
  <si>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</si>
  <si>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</si>
  <si>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</si>
  <si>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</si>
  <si>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</si>
  <si>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</si>
  <si>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</si>
  <si>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</si>
  <si>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</si>
  <si>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</si>
  <si>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</si>
  <si>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</si>
  <si>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</si>
  <si>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</si>
  <si>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</si>
  <si>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</si>
  <si>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</si>
  <si>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</si>
  <si>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</si>
  <si>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</si>
  <si>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</si>
  <si>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</si>
  <si>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</si>
  <si>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</si>
  <si>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</si>
  <si>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</si>
  <si>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</si>
  <si>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</si>
  <si>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</si>
  <si>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</si>
  <si>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</si>
  <si>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</si>
  <si>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</si>
  <si>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</si>
  <si>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</si>
  <si>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</si>
  <si>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</si>
  <si>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</si>
  <si>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</si>
  <si>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</si>
  <si>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</si>
  <si>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</si>
  <si>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</si>
  <si>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</si>
  <si>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</si>
  <si>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</si>
  <si>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</si>
  <si>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</si>
  <si>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</si>
  <si>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</si>
  <si>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</si>
  <si>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</si>
  <si>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</si>
  <si>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</si>
  <si>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</si>
  <si>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</si>
  <si>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</si>
  <si>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</si>
  <si>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</si>
  <si>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</si>
  <si>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</si>
  <si>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</si>
  <si>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</si>
  <si>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</si>
  <si>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</si>
  <si>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</si>
  <si>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</si>
  <si>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</si>
  <si>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</si>
  <si>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</si>
  <si>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</si>
  <si>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</si>
  <si>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</si>
  <si>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</si>
  <si>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</si>
  <si>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</si>
  <si>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</si>
  <si>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</si>
  <si>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</si>
  <si>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</si>
  <si>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</si>
  <si>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</si>
  <si>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</si>
  <si>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</si>
  <si>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</si>
  <si>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</si>
  <si>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</si>
  <si>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</si>
  <si>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</si>
  <si>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</si>
  <si>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</si>
  <si>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</si>
  <si>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</si>
  <si>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</si>
  <si>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</si>
  <si>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</si>
  <si>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</si>
  <si>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</si>
  <si>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</si>
  <si>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</si>
  <si>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</si>
  <si>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</si>
  <si>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</si>
  <si>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</si>
  <si>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</si>
  <si>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</si>
  <si>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</si>
  <si>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</si>
  <si>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</si>
  <si>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</si>
  <si>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</si>
  <si>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</si>
  <si>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</si>
  <si>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</si>
  <si>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</si>
  <si>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</si>
  <si>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</si>
  <si>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</si>
  <si>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</si>
  <si>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</si>
  <si>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</si>
  <si>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</si>
  <si>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</si>
  <si>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</si>
  <si>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</si>
  <si>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</si>
  <si>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</si>
  <si>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</si>
  <si>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</si>
  <si>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</si>
  <si>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</si>
  <si>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</si>
  <si>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</si>
  <si>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</si>
  <si>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</si>
  <si>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</si>
  <si>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</si>
  <si>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</si>
  <si>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</si>
  <si>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</si>
  <si>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</si>
  <si>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</si>
  <si>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</si>
  <si>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</si>
  <si>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</si>
  <si>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</si>
  <si>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</si>
  <si>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</si>
  <si>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</si>
  <si>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</si>
  <si>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</si>
  <si>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</si>
  <si>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</si>
  <si>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</si>
  <si>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</si>
  <si>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</si>
  <si>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</si>
  <si>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</si>
  <si>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</si>
  <si>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</si>
  <si>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</si>
  <si>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</si>
  <si>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</si>
  <si>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</si>
  <si>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</si>
  <si>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</si>
  <si>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</si>
  <si>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</si>
  <si>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</si>
  <si>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</si>
  <si>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</si>
  <si>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</si>
  <si>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</si>
  <si>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</si>
  <si>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</si>
  <si>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</si>
  <si>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</si>
  <si>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</si>
  <si>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</si>
  <si>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</si>
  <si>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</si>
  <si>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</si>
  <si>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</si>
  <si>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</si>
  <si>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</si>
  <si>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</si>
  <si>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</si>
  <si>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</si>
  <si>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</si>
  <si>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</si>
  <si>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</si>
  <si>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</si>
  <si>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</si>
  <si>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</si>
  <si>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</si>
  <si>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</si>
  <si>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</si>
  <si>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</si>
  <si>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</si>
  <si>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</si>
  <si>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</si>
  <si>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</si>
  <si>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</si>
  <si>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</si>
  <si>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</si>
  <si>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</si>
  <si>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</si>
  <si>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</si>
  <si>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</si>
  <si>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</si>
  <si>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</si>
  <si>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</si>
  <si>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</si>
  <si>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</si>
  <si>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</si>
  <si>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</si>
  <si>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</si>
  <si>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</si>
  <si>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</si>
  <si>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</si>
  <si>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</si>
  <si>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</si>
  <si>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</si>
  <si>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</si>
  <si>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</si>
  <si>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</si>
  <si>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</si>
  <si>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</si>
  <si>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</si>
  <si>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</si>
  <si>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</si>
  <si>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</si>
  <si>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</si>
  <si>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</si>
  <si>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</si>
  <si>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</si>
  <si>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</si>
  <si>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</si>
  <si>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</si>
  <si>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</si>
  <si>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</si>
  <si>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</si>
  <si>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</si>
  <si>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</si>
  <si>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</si>
  <si>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</si>
  <si>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</si>
  <si>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</si>
  <si>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</si>
  <si>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</si>
  <si>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</si>
  <si>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</si>
  <si>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</si>
  <si>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</si>
  <si>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</si>
  <si>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</si>
  <si>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</si>
  <si>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</si>
  <si>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</si>
  <si>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</si>
  <si>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</si>
  <si>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</si>
  <si>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</si>
  <si>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</si>
  <si>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</si>
  <si>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</si>
  <si>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</si>
  <si>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</si>
  <si>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</si>
  <si>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</si>
  <si>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</si>
  <si>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</si>
  <si>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</si>
  <si>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</si>
  <si>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</si>
  <si>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</si>
  <si>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</si>
  <si>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</si>
  <si>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</si>
  <si>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</si>
  <si>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</si>
  <si>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</si>
  <si>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</si>
  <si>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</si>
  <si>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</si>
  <si>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</si>
  <si>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</si>
  <si>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</si>
  <si>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</si>
  <si>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</si>
  <si>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</si>
  <si>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</si>
  <si>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</si>
  <si>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</si>
  <si>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</si>
  <si>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</si>
  <si>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</si>
  <si>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</si>
  <si>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</si>
  <si>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</si>
  <si>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</si>
  <si>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</si>
  <si>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</si>
  <si>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</si>
  <si>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</si>
  <si>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</si>
  <si>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</si>
  <si>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</si>
  <si>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</si>
  <si>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</si>
  <si>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</si>
  <si>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</si>
  <si>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</si>
  <si>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</si>
  <si>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</si>
  <si>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</si>
  <si>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</si>
  <si>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</si>
  <si>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</si>
  <si>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</si>
  <si>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</si>
  <si>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</si>
  <si>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</si>
  <si>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</si>
  <si>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</si>
  <si>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</si>
  <si>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</si>
  <si>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</si>
  <si>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</si>
  <si>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</si>
  <si>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</si>
  <si>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</si>
  <si>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</si>
  <si>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</si>
  <si>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</si>
  <si>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</si>
  <si>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</si>
  <si>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</si>
  <si>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</si>
  <si>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</si>
  <si>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</si>
  <si>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</si>
  <si>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</si>
  <si>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</si>
  <si>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</si>
  <si>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</si>
  <si>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</si>
  <si>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</si>
  <si>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</si>
  <si>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</si>
  <si>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</si>
  <si>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</si>
  <si>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</si>
  <si>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</si>
  <si>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</si>
  <si>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</si>
  <si>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</si>
  <si>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</si>
  <si>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</si>
  <si>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</si>
  <si>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</si>
  <si>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</si>
  <si>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</si>
  <si>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</si>
  <si>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</si>
  <si>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</si>
  <si>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</si>
  <si>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</si>
  <si>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</si>
  <si>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</si>
  <si>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</si>
  <si>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</si>
  <si>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</si>
  <si>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</si>
  <si>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</si>
  <si>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</si>
  <si>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</si>
  <si>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</si>
  <si>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</si>
  <si>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</si>
  <si>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</si>
  <si>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</si>
  <si>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</si>
  <si>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</si>
  <si>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</si>
  <si>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</si>
  <si>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</si>
  <si>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</si>
  <si>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</si>
  <si>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</si>
  <si>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</si>
  <si>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</si>
  <si>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</si>
  <si>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</si>
  <si>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</si>
  <si>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</si>
  <si>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</si>
  <si>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</si>
  <si>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</si>
  <si>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</si>
  <si>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</si>
  <si>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</si>
  <si>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</si>
  <si>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</si>
  <si>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</si>
  <si>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</si>
  <si>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</si>
  <si>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</si>
  <si>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</si>
  <si>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</si>
  <si>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</si>
  <si>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</si>
  <si>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</si>
  <si>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</si>
  <si>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</si>
  <si>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</si>
  <si>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</si>
  <si>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</si>
  <si>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</si>
  <si>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</si>
  <si>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</si>
  <si>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</si>
  <si>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</si>
  <si>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</si>
  <si>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</si>
  <si>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</si>
  <si>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</si>
  <si>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</si>
  <si>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</si>
  <si>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</si>
  <si>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</si>
  <si>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</si>
  <si>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</si>
  <si>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</si>
  <si>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</si>
  <si>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</si>
  <si>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</si>
  <si>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</si>
  <si>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</si>
  <si>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</si>
  <si>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</si>
  <si>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</si>
  <si>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</si>
  <si>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</si>
  <si>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</si>
  <si>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</si>
  <si>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</si>
  <si>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</si>
  <si>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</si>
  <si>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</si>
  <si>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</si>
  <si>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</si>
  <si>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</si>
  <si>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</si>
  <si>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</si>
  <si>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</si>
  <si>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</si>
  <si>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</si>
  <si>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</si>
  <si>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</si>
  <si>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</si>
  <si>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</si>
  <si>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</si>
  <si>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</si>
  <si>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</si>
  <si>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</si>
  <si>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</si>
  <si>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</si>
  <si>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</si>
  <si>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</si>
  <si>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</si>
  <si>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</si>
  <si>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</si>
  <si>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</si>
  <si>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</si>
  <si>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</si>
  <si>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</si>
  <si>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</si>
  <si>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</si>
  <si>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</si>
  <si>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</si>
  <si>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</si>
  <si>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</si>
  <si>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</si>
  <si>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</si>
  <si>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</si>
  <si>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</si>
  <si>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</si>
  <si>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</si>
  <si>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</si>
  <si>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</si>
  <si>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</si>
  <si>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</si>
  <si>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</si>
  <si>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</si>
  <si>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</si>
  <si>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</si>
  <si>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</si>
  <si>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</si>
  <si>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</si>
  <si>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</si>
  <si>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</si>
  <si>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</si>
  <si>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</si>
  <si>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</si>
  <si>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</si>
  <si>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</si>
  <si>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</si>
  <si>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</si>
  <si>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</si>
  <si>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</si>
  <si>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</si>
  <si>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</si>
  <si>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</si>
  <si>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</si>
  <si>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</si>
  <si>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</si>
  <si>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</si>
  <si>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</si>
  <si>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</si>
  <si>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</si>
  <si>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</si>
  <si>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</si>
  <si>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</si>
  <si>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</si>
  <si>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</si>
  <si>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</si>
  <si>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</si>
  <si>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</si>
  <si>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</si>
  <si>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</si>
  <si>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</si>
  <si>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</si>
  <si>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</si>
  <si>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</si>
  <si>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</si>
  <si>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</si>
  <si>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</si>
  <si>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</si>
  <si>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</si>
  <si>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</si>
  <si>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</si>
  <si>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</si>
  <si>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</si>
  <si>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</si>
  <si>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</si>
  <si>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</si>
  <si>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</si>
  <si>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</si>
  <si>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</si>
  <si>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</si>
  <si>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</si>
  <si>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</si>
  <si>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</si>
  <si>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</si>
  <si>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</si>
  <si>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</si>
  <si>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</si>
  <si>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</si>
  <si>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</si>
  <si>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</si>
  <si>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</si>
  <si>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</si>
  <si>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</si>
  <si>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</si>
  <si>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</si>
  <si>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</si>
  <si>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</si>
  <si>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</si>
  <si>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</si>
  <si>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</si>
  <si>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</si>
  <si>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</si>
  <si>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</si>
  <si>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</si>
  <si>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</si>
  <si>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</si>
  <si>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</si>
  <si>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</si>
  <si>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</si>
  <si>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</si>
  <si>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</si>
  <si>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</si>
  <si>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</si>
  <si>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</si>
  <si>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</si>
  <si>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</si>
  <si>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</si>
  <si>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</si>
  <si>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</si>
  <si>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</si>
  <si>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</si>
  <si>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</si>
  <si>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</si>
  <si>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</si>
  <si>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</si>
  <si>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</si>
  <si>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</si>
  <si>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</si>
  <si>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</si>
  <si>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</si>
  <si>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</si>
  <si>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</si>
  <si>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</si>
  <si>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</si>
  <si>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</si>
  <si>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</si>
  <si>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</si>
  <si>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</si>
  <si>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</si>
  <si>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</si>
  <si>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</si>
  <si>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</si>
  <si>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</si>
  <si>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</si>
  <si>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</si>
  <si>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</si>
  <si>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</si>
  <si>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</si>
  <si>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</si>
  <si>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</si>
  <si>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</si>
  <si>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</si>
  <si>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</si>
  <si>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</si>
  <si>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</si>
  <si>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</si>
  <si>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</si>
  <si>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</si>
  <si>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</si>
  <si>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</si>
  <si>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</si>
  <si>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</si>
  <si>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</si>
  <si>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</si>
  <si>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</si>
  <si>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</si>
  <si>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</si>
  <si>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</si>
  <si>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</si>
  <si>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</si>
  <si>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</si>
  <si>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</si>
  <si>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</si>
  <si>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</si>
  <si>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</si>
  <si>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</si>
  <si>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</si>
  <si>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</si>
  <si>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</si>
  <si>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</si>
  <si>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</si>
  <si>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</si>
  <si>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</si>
  <si>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</si>
  <si>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</si>
  <si>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</si>
  <si>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</si>
  <si>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</si>
  <si>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</si>
  <si>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</si>
  <si>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</si>
  <si>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</si>
  <si>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</si>
  <si>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</si>
  <si>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</si>
  <si>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</si>
  <si>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</si>
  <si>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</si>
  <si>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</si>
  <si>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</si>
  <si>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</si>
  <si>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</si>
  <si>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</si>
  <si>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</si>
  <si>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</si>
  <si>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</si>
  <si>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</si>
  <si>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</si>
  <si>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</si>
  <si>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</si>
  <si>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</si>
  <si>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</si>
  <si>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</si>
  <si>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</si>
  <si>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</si>
  <si>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</si>
  <si>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</si>
  <si>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</si>
  <si>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</si>
  <si>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</si>
  <si>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</si>
  <si>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</si>
  <si>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</si>
  <si>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</si>
  <si>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</si>
  <si>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</si>
  <si>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</si>
  <si>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</si>
  <si>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</si>
  <si>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</si>
  <si>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</si>
  <si>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</si>
  <si>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</si>
  <si>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</si>
  <si>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</si>
  <si>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</si>
  <si>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</si>
  <si>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</si>
  <si>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</si>
  <si>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</si>
  <si>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</si>
  <si>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</si>
  <si>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</si>
  <si>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</si>
  <si>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</si>
  <si>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</si>
  <si>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</si>
  <si>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</si>
  <si>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</si>
  <si>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</si>
  <si>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</si>
  <si>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</si>
  <si>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</si>
  <si>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</si>
  <si>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</si>
  <si>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</si>
  <si>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</si>
  <si>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</si>
  <si>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</si>
  <si>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</si>
  <si>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</si>
  <si>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</si>
  <si>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</si>
  <si>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</si>
  <si>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</si>
  <si>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</si>
  <si>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</si>
  <si>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</si>
  <si>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</si>
  <si>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</si>
  <si>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</si>
  <si>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</si>
  <si>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</si>
  <si>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</si>
  <si>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</si>
  <si>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</si>
  <si>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</si>
  <si>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</si>
  <si>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</si>
  <si>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</si>
  <si>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</si>
  <si>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</si>
  <si>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</si>
  <si>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</si>
  <si>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</si>
  <si>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</si>
  <si>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</si>
  <si>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</si>
  <si>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</si>
  <si>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</si>
  <si>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</si>
  <si>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</si>
  <si>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</si>
  <si>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</si>
  <si>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</si>
  <si>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</si>
  <si>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</si>
  <si>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</si>
  <si>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</si>
  <si>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</si>
  <si>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</si>
  <si>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</si>
  <si>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</si>
  <si>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</si>
  <si>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</si>
  <si>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</si>
  <si>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</si>
  <si>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</si>
  <si>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</si>
  <si>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</si>
  <si>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</si>
  <si>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</si>
  <si>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</si>
  <si>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</si>
  <si>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</si>
  <si>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</si>
  <si>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</si>
  <si>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</si>
  <si>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</si>
  <si>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</si>
  <si>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</si>
  <si>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</si>
  <si>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</si>
  <si>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</si>
  <si>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</si>
  <si>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</si>
  <si>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</si>
  <si>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</si>
  <si>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</si>
  <si>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</si>
  <si>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</si>
  <si>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</si>
  <si>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</si>
  <si>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</si>
  <si>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</si>
  <si>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</si>
  <si>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</si>
  <si>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</si>
  <si>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</si>
  <si>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</si>
  <si>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</si>
  <si>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</si>
  <si>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</si>
  <si>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</si>
  <si>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</si>
  <si>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</si>
  <si>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</si>
  <si>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</si>
  <si>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</si>
  <si>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</si>
  <si>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</si>
  <si>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</si>
  <si>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</si>
  <si>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</si>
  <si>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</si>
  <si>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</si>
  <si>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</si>
  <si>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</si>
  <si>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</si>
  <si>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</si>
  <si>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</si>
  <si>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</si>
  <si>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</si>
  <si>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</si>
  <si>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</si>
  <si>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</si>
  <si>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</si>
  <si>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</si>
  <si>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</si>
  <si>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</si>
  <si>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</si>
  <si>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</si>
  <si>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</si>
  <si>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</si>
  <si>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</si>
  <si>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</si>
  <si>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</si>
  <si>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</si>
  <si>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</si>
  <si>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</si>
  <si>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</si>
  <si>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</si>
  <si>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</si>
  <si>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</si>
  <si>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</si>
  <si>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</si>
  <si>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</si>
  <si>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</si>
  <si>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</si>
  <si>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</si>
  <si>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</si>
  <si>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</si>
  <si>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</si>
  <si>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</si>
  <si>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</si>
  <si>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</si>
  <si>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</si>
  <si>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</si>
  <si>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</si>
  <si>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</si>
  <si>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</si>
  <si>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</si>
  <si>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</si>
  <si>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</si>
  <si>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</si>
  <si>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</si>
  <si>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</si>
  <si>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</si>
  <si>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</si>
  <si>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</si>
  <si>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</si>
  <si>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</si>
  <si>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</si>
  <si>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</si>
  <si>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</si>
  <si>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</si>
  <si>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</si>
  <si>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</si>
  <si>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</si>
  <si>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</si>
  <si>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</si>
  <si>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</si>
  <si>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</si>
  <si>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</si>
  <si>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</si>
  <si>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</si>
  <si>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</si>
  <si>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</si>
  <si>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</si>
  <si>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</si>
  <si>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</si>
  <si>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</si>
  <si>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</si>
  <si>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</si>
  <si>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</si>
  <si>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</si>
  <si>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</si>
  <si>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</si>
  <si>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</si>
  <si>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</si>
  <si>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</si>
  <si>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</si>
  <si>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</si>
  <si>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</si>
  <si>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</si>
  <si>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</si>
  <si>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</si>
  <si>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</si>
  <si>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</si>
  <si>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</si>
  <si>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</si>
  <si>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</si>
  <si>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</si>
  <si>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</si>
  <si>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</si>
  <si>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</si>
  <si>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</si>
  <si>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</si>
  <si>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</si>
  <si>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</si>
  <si>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</si>
  <si>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</si>
  <si>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</si>
  <si>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</si>
  <si>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</si>
  <si>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</si>
  <si>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</si>
  <si>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</si>
  <si>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</si>
  <si>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</si>
  <si>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</si>
  <si>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</si>
  <si>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</si>
  <si>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</si>
  <si>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</si>
  <si>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</si>
  <si>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</si>
  <si>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</si>
  <si>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</si>
  <si>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</si>
  <si>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</si>
  <si>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</si>
  <si>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</si>
  <si>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</si>
  <si>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</si>
  <si>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</si>
  <si>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</si>
  <si>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</si>
  <si>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</si>
  <si>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</si>
  <si>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</si>
  <si>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</si>
  <si>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</si>
  <si>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</si>
  <si>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</si>
  <si>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</si>
  <si>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</si>
  <si>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</si>
  <si>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</si>
  <si>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</si>
  <si>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</si>
  <si>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</si>
  <si>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</si>
  <si>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</si>
  <si>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</si>
  <si>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</si>
  <si>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</si>
  <si>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</si>
  <si>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</si>
  <si>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</si>
  <si>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</si>
  <si>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</si>
  <si>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</si>
  <si>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</si>
  <si>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</si>
  <si>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</si>
  <si>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</si>
  <si>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</si>
  <si>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</si>
  <si>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</si>
  <si>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</si>
  <si>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</si>
  <si>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</si>
  <si>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</si>
  <si>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</si>
  <si>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</si>
  <si>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</si>
  <si>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</si>
  <si>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</si>
  <si>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</si>
  <si>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</si>
  <si>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</si>
  <si>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</si>
  <si>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</si>
  <si>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</si>
  <si>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</si>
  <si>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</si>
  <si>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</si>
  <si>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</si>
  <si>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</si>
  <si>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</si>
  <si>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</si>
  <si>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</si>
  <si>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</si>
  <si>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</si>
  <si>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</si>
  <si>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</si>
  <si>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</si>
  <si>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</si>
  <si>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</si>
  <si>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</si>
  <si>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</si>
  <si>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</si>
  <si>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</si>
  <si>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</si>
  <si>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</si>
  <si>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</si>
  <si>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</si>
  <si>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</si>
  <si>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</si>
  <si>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</si>
  <si>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</si>
  <si>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</si>
  <si>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</si>
  <si>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</si>
  <si>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</si>
  <si>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</si>
  <si>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</si>
  <si>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</si>
  <si>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</si>
  <si>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</si>
  <si>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</si>
  <si>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</si>
  <si>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</si>
  <si>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</si>
  <si>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</si>
  <si>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</si>
  <si>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</si>
  <si>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</si>
  <si>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</si>
  <si>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</si>
  <si>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</si>
  <si>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</si>
  <si>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</si>
  <si>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</si>
  <si>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</si>
  <si>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</si>
  <si>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</si>
  <si>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</si>
  <si>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</si>
  <si>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</si>
  <si>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</si>
  <si>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</si>
  <si>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</si>
  <si>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</si>
  <si>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</si>
  <si>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</si>
  <si>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</si>
  <si>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</si>
  <si>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</si>
  <si>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</si>
  <si>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</si>
  <si>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</si>
  <si>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</si>
  <si>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</si>
  <si>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</si>
  <si>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</si>
  <si>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</si>
  <si>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</si>
  <si>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</si>
  <si>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</si>
  <si>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</si>
  <si>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</si>
  <si>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</si>
  <si>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</si>
  <si>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</si>
  <si>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</si>
  <si>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</si>
  <si>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</si>
  <si>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</si>
  <si>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</si>
  <si>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</si>
  <si>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</si>
  <si>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</si>
  <si>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</si>
  <si>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</si>
  <si>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</si>
  <si>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</si>
  <si>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</si>
  <si>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</si>
  <si>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</si>
  <si>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</si>
  <si>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</si>
  <si>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</si>
  <si>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</si>
  <si>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</si>
  <si>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</si>
  <si>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</si>
  <si>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</si>
  <si>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</si>
  <si>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</si>
  <si>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</si>
  <si>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</si>
  <si>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</si>
  <si>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</si>
  <si>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</si>
  <si>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</si>
  <si>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</si>
  <si>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</si>
  <si>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</si>
  <si>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</si>
  <si>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</si>
  <si>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</si>
  <si>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</si>
  <si>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</si>
  <si>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</si>
  <si>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</si>
  <si>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</si>
  <si>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</si>
  <si>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</si>
  <si>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</si>
  <si>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</si>
  <si>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</si>
  <si>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</si>
  <si>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</si>
  <si>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</si>
  <si>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</si>
  <si>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</si>
  <si>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</si>
  <si>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</si>
  <si>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</si>
  <si>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</si>
  <si>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</si>
  <si>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</si>
  <si>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</si>
  <si>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</si>
  <si>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</si>
  <si>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</si>
  <si>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</si>
  <si>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</si>
  <si>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</si>
  <si>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</si>
  <si>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</si>
  <si>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</si>
  <si>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</si>
  <si>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</si>
  <si>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</si>
  <si>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</si>
  <si>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</si>
  <si>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</si>
  <si>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</si>
  <si>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</si>
  <si>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</si>
  <si>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</si>
  <si>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</si>
  <si>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</si>
  <si>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</si>
  <si>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</si>
  <si>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</si>
  <si>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</si>
  <si>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</si>
  <si>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</si>
  <si>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</si>
  <si>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</si>
  <si>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</si>
  <si>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</si>
  <si>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</si>
  <si>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</si>
  <si>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</si>
  <si>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</si>
  <si>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</si>
  <si>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</si>
  <si>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</si>
  <si>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</si>
  <si>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</si>
  <si>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</si>
  <si>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</si>
  <si>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</si>
  <si>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</si>
  <si>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</si>
  <si>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</si>
  <si>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</si>
  <si>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</si>
  <si>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</si>
  <si>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</si>
  <si>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</si>
  <si>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</si>
  <si>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</si>
  <si>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</si>
  <si>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</si>
  <si>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</si>
  <si>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</si>
  <si>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</si>
  <si>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</si>
  <si>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</si>
  <si>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</si>
  <si>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</si>
  <si>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</si>
  <si>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</si>
  <si>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</si>
  <si>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</si>
  <si>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</si>
  <si>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</si>
  <si>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</si>
  <si>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</si>
  <si>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</si>
  <si>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</si>
  <si>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</si>
  <si>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</si>
  <si>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</si>
  <si>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</si>
  <si>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</si>
  <si>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</si>
  <si>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</si>
  <si>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</si>
  <si>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</si>
  <si>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</si>
  <si>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</si>
  <si>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</si>
  <si>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</si>
  <si>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</si>
  <si>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</si>
  <si>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</si>
  <si>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</si>
  <si>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</si>
  <si>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</si>
  <si>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</si>
  <si>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</si>
  <si>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</si>
  <si>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</si>
  <si>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</si>
  <si>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</si>
  <si>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</si>
  <si>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</si>
  <si>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</si>
  <si>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</si>
  <si>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</si>
  <si>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</si>
  <si>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</si>
  <si>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</si>
  <si>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</si>
  <si>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</si>
  <si>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</si>
  <si>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</si>
  <si>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</si>
  <si>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</si>
  <si>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</si>
  <si>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</si>
  <si>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</si>
  <si>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</si>
  <si>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</si>
  <si>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</si>
  <si>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</si>
  <si>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</si>
  <si>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</si>
  <si>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</si>
  <si>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</si>
  <si>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</si>
  <si>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</si>
  <si>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</si>
  <si>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</si>
  <si>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</si>
  <si>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</si>
  <si>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</si>
  <si>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</si>
  <si>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</si>
  <si>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</si>
  <si>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</si>
  <si>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</si>
  <si>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</si>
  <si>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</si>
  <si>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</si>
  <si>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</si>
  <si>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</si>
  <si>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</si>
  <si>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</si>
  <si>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</si>
  <si>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</si>
  <si>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</si>
  <si>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</si>
  <si>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</si>
  <si>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</si>
  <si>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</si>
  <si>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</si>
  <si>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</si>
  <si>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</si>
  <si>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</si>
  <si>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</si>
  <si>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</si>
  <si>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</si>
  <si>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</si>
  <si>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</si>
  <si>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</si>
  <si>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</si>
  <si>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</si>
  <si>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</si>
  <si>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</si>
  <si>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</si>
  <si>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</si>
  <si>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</si>
  <si>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</si>
  <si>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</si>
  <si>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</si>
  <si>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</si>
  <si>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</si>
  <si>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</si>
  <si>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</si>
  <si>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</si>
  <si>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</si>
  <si>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</si>
  <si>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</si>
  <si>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</si>
  <si>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</si>
  <si>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</si>
  <si>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</si>
  <si>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</si>
  <si>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</si>
  <si>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</si>
  <si>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</si>
  <si>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</si>
  <si>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</si>
  <si>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</si>
  <si>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</si>
  <si>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</si>
  <si>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</si>
  <si>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</si>
  <si>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</si>
  <si>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</si>
  <si>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</si>
  <si>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</si>
  <si>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</si>
  <si>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</si>
  <si>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</si>
  <si>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</si>
  <si>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</si>
  <si>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</si>
  <si>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</si>
  <si>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</si>
  <si>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</si>
  <si>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</si>
  <si>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</si>
  <si>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</si>
  <si>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</si>
  <si>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</si>
  <si>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</si>
  <si>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</si>
  <si>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</si>
  <si>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</si>
  <si>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</si>
  <si>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</si>
  <si>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</si>
  <si>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</si>
  <si>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</si>
  <si>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</si>
  <si>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</si>
  <si>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</si>
  <si>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</si>
  <si>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</si>
  <si>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</si>
  <si>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</si>
  <si>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</si>
  <si>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</si>
  <si>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</si>
  <si>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</si>
  <si>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</si>
  <si>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</si>
  <si>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</si>
  <si>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</si>
  <si>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</si>
  <si>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</si>
  <si>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</si>
  <si>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</si>
  <si>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</si>
  <si>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</si>
  <si>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</si>
  <si>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</si>
  <si>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</si>
  <si>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</si>
  <si>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</si>
  <si>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</si>
  <si>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</si>
  <si>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</si>
  <si>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</si>
  <si>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</si>
  <si>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</si>
  <si>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</si>
  <si>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</si>
  <si>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</si>
  <si>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</si>
  <si>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</si>
  <si>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</si>
  <si>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</si>
  <si>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</si>
  <si>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</si>
  <si>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</si>
  <si>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</si>
  <si>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</si>
  <si>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</si>
  <si>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</si>
  <si>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</si>
  <si>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</si>
  <si>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</si>
  <si>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</si>
  <si>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</si>
  <si>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</si>
  <si>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</si>
  <si>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</si>
  <si>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</si>
  <si>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</si>
  <si>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</si>
  <si>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</si>
  <si>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</si>
  <si>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</si>
  <si>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</si>
  <si>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</si>
  <si>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</si>
  <si>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</si>
  <si>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</si>
  <si>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</si>
  <si>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</si>
  <si>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</si>
  <si>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</si>
  <si>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</si>
  <si>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</si>
  <si>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</si>
  <si>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</si>
  <si>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</si>
  <si>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</si>
  <si>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</si>
  <si>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</si>
  <si>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</si>
  <si>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</si>
  <si>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</si>
  <si>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</si>
  <si>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</si>
  <si>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</si>
  <si>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</si>
  <si>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</si>
  <si>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</si>
  <si>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</si>
  <si>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</si>
  <si>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</si>
  <si>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</si>
  <si>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</si>
  <si>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</si>
  <si>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</si>
  <si>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</si>
  <si>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</si>
  <si>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</si>
  <si>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</si>
  <si>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</si>
  <si>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</si>
  <si>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</si>
  <si>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</si>
  <si>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</si>
  <si>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</si>
  <si>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</si>
  <si>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</si>
  <si>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</si>
  <si>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</si>
  <si>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</si>
  <si>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</si>
  <si>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</si>
  <si>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</si>
  <si>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</si>
  <si>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</si>
  <si>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</si>
  <si>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</si>
  <si>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</si>
  <si>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</si>
  <si>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</si>
  <si>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</si>
  <si>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</si>
  <si>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</si>
  <si>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</si>
  <si>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</si>
  <si>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</si>
  <si>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</si>
  <si>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</si>
  <si>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</si>
  <si>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</si>
  <si>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</si>
  <si>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</si>
  <si>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</si>
  <si>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</si>
  <si>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</si>
  <si>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</si>
  <si>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</si>
  <si>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</si>
  <si>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</si>
  <si>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</si>
  <si>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</si>
  <si>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</si>
  <si>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</si>
  <si>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</si>
  <si>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</si>
  <si>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</si>
  <si>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</si>
  <si>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</si>
  <si>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</si>
  <si>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</si>
  <si>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</si>
  <si>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</si>
  <si>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</si>
  <si>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</si>
  <si>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</si>
  <si>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</si>
  <si>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</si>
  <si>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</si>
  <si>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</si>
  <si>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</si>
  <si>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</si>
  <si>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</si>
  <si>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</si>
  <si>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</si>
  <si>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</si>
  <si>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</si>
  <si>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</si>
  <si>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</si>
  <si>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</si>
  <si>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</si>
  <si>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</si>
  <si>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</si>
  <si>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</si>
  <si>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</si>
  <si>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</si>
  <si>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</si>
  <si>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</si>
  <si>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</si>
  <si>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</si>
  <si>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</si>
  <si>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</si>
  <si>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</si>
  <si>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</si>
  <si>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</si>
  <si>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</si>
  <si>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</si>
  <si>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</si>
  <si>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</si>
  <si>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</si>
  <si>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</si>
  <si>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</si>
  <si>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</si>
  <si>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</si>
  <si>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</si>
  <si>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</si>
  <si>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</si>
  <si>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</si>
  <si>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</si>
  <si>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</si>
  <si>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</si>
  <si>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</si>
  <si>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</si>
  <si>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</si>
  <si>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</si>
  <si>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</si>
  <si>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</si>
  <si>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</si>
  <si>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</si>
  <si>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</si>
  <si>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</si>
  <si>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</si>
  <si>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</si>
  <si>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</si>
  <si>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</si>
  <si>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</si>
  <si>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</si>
  <si>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</si>
  <si>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</si>
  <si>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</si>
  <si>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</si>
  <si>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</si>
  <si>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</si>
  <si>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</si>
  <si>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</si>
  <si>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</si>
  <si>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</si>
  <si>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</si>
  <si>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</si>
  <si>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</si>
  <si>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</si>
  <si>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</si>
  <si>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</si>
  <si>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</si>
  <si>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</si>
  <si>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</si>
  <si>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</si>
  <si>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</si>
  <si>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</si>
  <si>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</si>
  <si>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</si>
  <si>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</si>
  <si>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</si>
  <si>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</si>
  <si>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</si>
  <si>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</si>
  <si>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</si>
  <si>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</si>
  <si>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</si>
  <si>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</si>
  <si>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</si>
  <si>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</si>
  <si>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</si>
  <si>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</si>
  <si>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</si>
  <si>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</si>
  <si>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</si>
  <si>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</si>
  <si>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</si>
  <si>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</si>
  <si>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</si>
  <si>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</si>
  <si>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</si>
  <si>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</si>
  <si>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</si>
  <si>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</si>
  <si>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</si>
  <si>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</si>
  <si>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</si>
  <si>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</si>
  <si>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</si>
  <si>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</si>
  <si>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</si>
  <si>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</si>
  <si>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</si>
  <si>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</si>
  <si>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</si>
  <si>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</si>
  <si>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</si>
  <si>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</si>
  <si>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</si>
  <si>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</si>
  <si>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</si>
  <si>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</si>
  <si>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</si>
  <si>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</si>
  <si>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</si>
  <si>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</si>
  <si>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</si>
  <si>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</si>
  <si>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</si>
  <si>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</si>
  <si>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</si>
  <si>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</si>
  <si>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</si>
  <si>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</si>
  <si>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</si>
  <si>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</si>
  <si>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</si>
  <si>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</si>
  <si>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</si>
  <si>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</si>
  <si>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</si>
  <si>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</si>
  <si>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</si>
  <si>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</si>
  <si>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</si>
  <si>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</si>
  <si>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</si>
  <si>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</si>
  <si>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</si>
  <si>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</si>
  <si>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</si>
  <si>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</si>
  <si>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</si>
  <si>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</si>
  <si>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</si>
  <si>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</si>
  <si>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</si>
  <si>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</si>
  <si>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</si>
  <si>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</si>
  <si>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</si>
  <si>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</si>
  <si>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</si>
  <si>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</si>
  <si>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</si>
  <si>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</si>
  <si>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</si>
  <si>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</si>
  <si>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</si>
  <si>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</si>
  <si>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</si>
  <si>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</si>
  <si>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</si>
  <si>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</si>
  <si>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</si>
  <si>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</si>
  <si>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</si>
  <si>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</si>
  <si>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</si>
  <si>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</si>
  <si>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</si>
  <si>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</si>
  <si>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</si>
  <si>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</si>
  <si>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</si>
  <si>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</si>
  <si>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</si>
  <si>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</si>
  <si>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</si>
  <si>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</si>
  <si>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</si>
  <si>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</si>
  <si>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</si>
  <si>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</si>
  <si>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</si>
  <si>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</si>
  <si>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</si>
  <si>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</si>
  <si>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</si>
  <si>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</si>
  <si>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</si>
  <si>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</si>
  <si>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</si>
  <si>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</si>
  <si>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</si>
  <si>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</si>
  <si>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</si>
  <si>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</si>
  <si>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</si>
  <si>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</si>
  <si>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</si>
  <si>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</si>
  <si>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</si>
  <si>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</si>
  <si>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</si>
  <si>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</si>
  <si>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</si>
  <si>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</si>
  <si>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</si>
  <si>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</si>
  <si>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</si>
  <si>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</si>
  <si>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</si>
  <si>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</si>
  <si>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</si>
  <si>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</si>
  <si>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</si>
  <si>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</si>
  <si>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</si>
  <si>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</si>
  <si>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</si>
  <si>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</si>
  <si>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</si>
  <si>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</si>
  <si>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</si>
  <si>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</si>
  <si>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</si>
  <si>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</si>
  <si>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</si>
  <si>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</si>
  <si>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</si>
  <si>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</si>
  <si>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</si>
  <si>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</si>
  <si>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</si>
  <si>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</si>
  <si>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</si>
  <si>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</si>
  <si>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</si>
  <si>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</si>
  <si>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</si>
  <si>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</si>
  <si>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</si>
  <si>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</si>
  <si>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</si>
  <si>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</si>
  <si>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</si>
  <si>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</si>
  <si>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</si>
  <si>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</si>
  <si>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</si>
  <si>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</si>
  <si>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</si>
  <si>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</si>
  <si>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</si>
  <si>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</si>
  <si>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</si>
  <si>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</si>
  <si>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</si>
  <si>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</si>
  <si>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</si>
  <si>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</si>
  <si>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</si>
  <si>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</si>
  <si>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</si>
  <si>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</si>
  <si>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</si>
  <si>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</si>
  <si>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</si>
  <si>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</si>
  <si>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</si>
  <si>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</si>
  <si>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</si>
  <si>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</si>
  <si>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</si>
  <si>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</si>
  <si>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</si>
  <si>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</si>
  <si>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</si>
  <si>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</si>
  <si>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</si>
  <si>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</si>
  <si>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</si>
  <si>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</si>
  <si>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</si>
  <si>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</si>
  <si>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</si>
  <si>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</si>
  <si>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</si>
  <si>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</si>
  <si>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</si>
  <si>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</si>
  <si>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</si>
  <si>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</si>
  <si>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</si>
  <si>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</si>
  <si>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</si>
  <si>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</si>
  <si>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</si>
  <si>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</si>
  <si>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</si>
  <si>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</si>
  <si>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</si>
  <si>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</si>
  <si>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</si>
  <si>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</si>
  <si>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</si>
  <si>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</si>
  <si>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</si>
  <si>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</si>
  <si>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</si>
  <si>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</si>
  <si>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</si>
  <si>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</si>
  <si>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</si>
  <si>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</si>
  <si>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</si>
  <si>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</si>
  <si>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</si>
  <si>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</si>
  <si>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</si>
  <si>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</si>
  <si>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</si>
  <si>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</si>
  <si>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</si>
  <si>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</si>
  <si>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</si>
  <si>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</si>
  <si>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</si>
  <si>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</si>
  <si>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</si>
  <si>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</si>
  <si>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</si>
  <si>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</si>
  <si>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</si>
  <si>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</si>
  <si>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</si>
  <si>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</si>
  <si>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</si>
  <si>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</si>
  <si>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</si>
  <si>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</si>
  <si>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</si>
  <si>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</si>
  <si>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</si>
  <si>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</si>
  <si>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</si>
  <si>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</si>
  <si>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</si>
  <si>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</si>
  <si>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</si>
  <si>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</si>
  <si>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</si>
  <si>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</si>
  <si>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</si>
  <si>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</si>
  <si>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</si>
  <si>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</si>
  <si>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</si>
  <si>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</si>
  <si>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</si>
  <si>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</si>
  <si>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</si>
  <si>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</si>
  <si>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</si>
  <si>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</si>
  <si>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</si>
  <si>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</si>
  <si>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</si>
  <si>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</si>
  <si>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</si>
  <si>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</si>
  <si>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</si>
  <si>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</si>
  <si>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</si>
  <si>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</si>
  <si>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</si>
  <si>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</si>
  <si>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</si>
  <si>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</si>
  <si>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</si>
  <si>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</si>
  <si>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</si>
  <si>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</si>
  <si>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</si>
  <si>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</si>
  <si>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</si>
  <si>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</si>
  <si>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</si>
  <si>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</si>
  <si>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</si>
  <si>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</si>
  <si>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</si>
  <si>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</si>
  <si>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</si>
  <si>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</si>
  <si>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</si>
  <si>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</si>
  <si>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</si>
  <si>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</si>
  <si>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</si>
  <si>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</si>
  <si>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</si>
  <si>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</si>
  <si>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</si>
  <si>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</si>
  <si>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</si>
  <si>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</si>
  <si>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</si>
  <si>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</si>
  <si>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</si>
  <si>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</si>
  <si>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</si>
  <si>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</si>
  <si>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</si>
  <si>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</si>
  <si>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</si>
  <si>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</si>
  <si>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</si>
  <si>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</si>
  <si>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</si>
  <si>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</si>
  <si>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</si>
  <si>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</si>
  <si>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</si>
  <si>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</si>
  <si>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</si>
  <si>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</si>
  <si>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</si>
  <si>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</si>
  <si>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</si>
  <si>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</si>
  <si>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</si>
  <si>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</si>
  <si>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</si>
  <si>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</si>
  <si>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</si>
  <si>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</si>
  <si>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</si>
  <si>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</si>
  <si>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</si>
  <si>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</si>
  <si>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</si>
  <si>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</si>
  <si>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</si>
  <si>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</si>
  <si>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</si>
  <si>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</si>
  <si>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</si>
  <si>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</si>
  <si>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</si>
  <si>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</si>
  <si>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</si>
  <si>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</si>
  <si>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</si>
  <si>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</si>
  <si>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</si>
  <si>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</si>
  <si>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</si>
  <si>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</si>
  <si>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</si>
  <si>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</si>
  <si>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</si>
  <si>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</si>
  <si>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</si>
  <si>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</si>
  <si>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</si>
  <si>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</si>
  <si>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</si>
  <si>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</si>
  <si>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</si>
  <si>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</si>
  <si>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</si>
  <si>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</si>
  <si>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</si>
  <si>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</si>
  <si>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</si>
  <si>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</si>
  <si>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</si>
  <si>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</si>
  <si>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</si>
  <si>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</si>
  <si>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</si>
  <si>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</si>
  <si>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</si>
  <si>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</si>
  <si>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</si>
  <si>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</si>
  <si>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</si>
  <si>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</si>
  <si>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</si>
  <si>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</si>
  <si>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</si>
  <si>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</si>
  <si>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</si>
  <si>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</si>
  <si>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</si>
  <si>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</si>
  <si>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</si>
  <si>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</si>
  <si>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</si>
  <si>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</si>
  <si>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</si>
  <si>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</si>
  <si>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</si>
  <si>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</si>
  <si>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</si>
  <si>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</si>
  <si>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</si>
  <si>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</si>
  <si>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</si>
  <si>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</si>
  <si>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</si>
  <si>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</si>
  <si>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</si>
  <si>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</si>
  <si>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</si>
  <si>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</si>
  <si>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</si>
  <si>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</si>
  <si>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</si>
  <si>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</si>
  <si>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</si>
  <si>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</si>
  <si>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</si>
  <si>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</si>
  <si>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</si>
  <si>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</si>
  <si>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</si>
  <si>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</si>
  <si>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</si>
  <si>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</si>
  <si>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</si>
  <si>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</si>
  <si>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</si>
  <si>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</si>
  <si>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</si>
  <si>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</si>
  <si>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</si>
  <si>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</si>
  <si>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</si>
  <si>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</si>
  <si>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</si>
  <si>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</si>
  <si>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</si>
  <si>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</si>
  <si>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</si>
  <si>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</si>
  <si>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</si>
  <si>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</si>
  <si>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</si>
  <si>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</si>
  <si>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</si>
  <si>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</si>
  <si>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</si>
  <si>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</si>
  <si>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</si>
  <si>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</si>
  <si>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</si>
  <si>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</si>
  <si>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</si>
  <si>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</si>
  <si>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</si>
  <si>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</si>
  <si>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</si>
  <si>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</si>
  <si>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</si>
  <si>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</si>
  <si>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</si>
  <si>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</si>
  <si>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</si>
  <si>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Du-Co Ceramics Company</t>
  </si>
  <si>
    <t>Michael Crytzer</t>
  </si>
  <si>
    <t>mcrytzer@du-co.com</t>
  </si>
  <si>
    <t>724-352-1511</t>
  </si>
  <si>
    <t>VP Operations</t>
  </si>
  <si>
    <t>yes</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</si>
</sst>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mcrytzer@du-co.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crytzer@du-co.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56"/>
      <c r="B2" s="35" t="s">
        <v>847</v>
      </c>
      <c r="C2" s="33"/>
      <c r="D2" s="199"/>
      <c r="E2" s="3"/>
      <c r="F2" s="33"/>
      <c r="G2" s="31"/>
    </row>
    <row r="3" spans="1:7">
      <c r="A3" s="356"/>
      <c r="B3" s="5" t="s">
        <v>839</v>
      </c>
      <c r="C3" s="6"/>
      <c r="D3" s="200"/>
      <c r="E3" s="3"/>
      <c r="F3" s="6"/>
      <c r="G3" s="31"/>
    </row>
    <row r="4" spans="1:7" ht="15.75">
      <c r="A4" s="356"/>
      <c r="B4" s="38" t="s">
        <v>849</v>
      </c>
      <c r="C4" s="7"/>
      <c r="D4" s="201"/>
      <c r="E4" s="3"/>
      <c r="F4" s="7"/>
      <c r="G4" s="31"/>
    </row>
    <row r="5" spans="1:7">
      <c r="A5" s="356"/>
      <c r="B5" s="37" t="s">
        <v>1040</v>
      </c>
      <c r="C5" s="4"/>
      <c r="D5" s="202"/>
      <c r="E5" s="3"/>
      <c r="F5" s="4"/>
      <c r="G5" s="31"/>
    </row>
    <row r="6" spans="1:7">
      <c r="A6" s="356"/>
      <c r="B6" s="8"/>
      <c r="C6" s="8"/>
      <c r="D6" s="203"/>
      <c r="E6" s="8"/>
      <c r="F6" s="8"/>
      <c r="G6" s="31"/>
    </row>
    <row r="7" spans="1:7">
      <c r="A7" s="356"/>
      <c r="B7" s="8"/>
      <c r="C7" s="8"/>
      <c r="D7" s="203"/>
      <c r="E7" s="8"/>
      <c r="F7" s="8"/>
      <c r="G7" s="31"/>
    </row>
    <row r="8" spans="1:7">
      <c r="A8" s="356"/>
      <c r="B8" s="8"/>
      <c r="C8" s="8"/>
      <c r="D8" s="203"/>
      <c r="E8" s="8"/>
      <c r="F8" s="8"/>
      <c r="G8" s="31"/>
    </row>
    <row r="9" spans="1:7">
      <c r="A9" s="356"/>
      <c r="B9" s="359" t="s">
        <v>850</v>
      </c>
      <c r="C9" s="359"/>
      <c r="D9" s="359"/>
      <c r="E9" s="359"/>
      <c r="F9" s="359"/>
      <c r="G9" s="31"/>
    </row>
    <row r="10" spans="1:7" ht="27" customHeight="1">
      <c r="A10" s="356"/>
      <c r="B10" s="360" t="s">
        <v>438</v>
      </c>
      <c r="C10" s="360"/>
      <c r="D10" s="360"/>
      <c r="E10" s="360"/>
      <c r="F10" s="360"/>
      <c r="G10" s="31"/>
    </row>
    <row r="11" spans="1:7" ht="27" customHeight="1">
      <c r="A11" s="356"/>
      <c r="B11" s="361"/>
      <c r="C11" s="361"/>
      <c r="D11" s="361"/>
      <c r="E11" s="361"/>
      <c r="F11" s="361"/>
      <c r="G11" s="31"/>
    </row>
    <row r="12" spans="1:7">
      <c r="A12" s="356"/>
      <c r="B12" s="39" t="s">
        <v>848</v>
      </c>
      <c r="C12" s="40" t="s">
        <v>851</v>
      </c>
      <c r="D12" s="204" t="s">
        <v>852</v>
      </c>
      <c r="E12" s="40" t="s">
        <v>612</v>
      </c>
      <c r="F12" s="40" t="s">
        <v>613</v>
      </c>
      <c r="G12" s="31"/>
    </row>
    <row r="13" spans="1:7" ht="33.75">
      <c r="A13" s="356"/>
      <c r="B13" s="2">
        <v>1</v>
      </c>
      <c r="C13" s="34" t="s">
        <v>1088</v>
      </c>
      <c r="D13" s="36" t="s">
        <v>876</v>
      </c>
      <c r="E13" s="187" t="s">
        <v>853</v>
      </c>
      <c r="F13" s="187"/>
      <c r="G13" s="31"/>
    </row>
    <row r="14" spans="1:7" ht="33.75">
      <c r="A14" s="356"/>
      <c r="B14" s="2">
        <v>2</v>
      </c>
      <c r="C14" s="34" t="s">
        <v>1088</v>
      </c>
      <c r="D14" s="36" t="s">
        <v>1025</v>
      </c>
      <c r="E14" s="187" t="s">
        <v>530</v>
      </c>
      <c r="F14" s="187" t="s">
        <v>531</v>
      </c>
      <c r="G14" s="31"/>
    </row>
    <row r="15" spans="1:7" ht="89.1" customHeight="1">
      <c r="A15" s="356"/>
      <c r="B15" s="362">
        <v>2.0099999999999998</v>
      </c>
      <c r="C15" s="365" t="s">
        <v>1088</v>
      </c>
      <c r="D15" s="368" t="s">
        <v>2263</v>
      </c>
      <c r="E15" s="188" t="s">
        <v>614</v>
      </c>
      <c r="F15" s="188" t="s">
        <v>617</v>
      </c>
      <c r="G15" s="31"/>
    </row>
    <row r="16" spans="1:7" ht="99" customHeight="1">
      <c r="A16" s="356"/>
      <c r="B16" s="363"/>
      <c r="C16" s="366"/>
      <c r="D16" s="369"/>
      <c r="E16" s="189"/>
      <c r="F16" s="189" t="s">
        <v>615</v>
      </c>
      <c r="G16" s="31"/>
    </row>
    <row r="17" spans="1:7" ht="63" customHeight="1">
      <c r="A17" s="356"/>
      <c r="B17" s="364"/>
      <c r="C17" s="367"/>
      <c r="D17" s="370"/>
      <c r="E17" s="34"/>
      <c r="F17" s="34" t="s">
        <v>616</v>
      </c>
      <c r="G17" s="31"/>
    </row>
    <row r="18" spans="1:7" ht="117" customHeight="1">
      <c r="A18" s="356"/>
      <c r="B18" s="362">
        <v>2.02</v>
      </c>
      <c r="C18" s="365" t="s">
        <v>1088</v>
      </c>
      <c r="D18" s="368" t="s">
        <v>2264</v>
      </c>
      <c r="E18" s="188" t="s">
        <v>439</v>
      </c>
      <c r="F18" s="188" t="s">
        <v>525</v>
      </c>
      <c r="G18" s="31"/>
    </row>
    <row r="19" spans="1:7" ht="71.099999999999994" customHeight="1">
      <c r="A19" s="356"/>
      <c r="B19" s="363"/>
      <c r="C19" s="366"/>
      <c r="D19" s="369"/>
      <c r="E19" s="189" t="s">
        <v>529</v>
      </c>
      <c r="F19" s="189" t="s">
        <v>440</v>
      </c>
      <c r="G19" s="31"/>
    </row>
    <row r="20" spans="1:7" ht="90.75" customHeight="1">
      <c r="A20" s="356"/>
      <c r="B20" s="363"/>
      <c r="C20" s="366"/>
      <c r="D20" s="369"/>
      <c r="E20" s="189"/>
      <c r="F20" s="189" t="s">
        <v>619</v>
      </c>
      <c r="G20" s="31"/>
    </row>
    <row r="21" spans="1:7" ht="74.25" customHeight="1">
      <c r="A21" s="356"/>
      <c r="B21" s="364"/>
      <c r="C21" s="367"/>
      <c r="D21" s="370"/>
      <c r="E21" s="34"/>
      <c r="F21" s="34" t="s">
        <v>618</v>
      </c>
      <c r="G21" s="31"/>
    </row>
    <row r="22" spans="1:7" ht="90" customHeight="1">
      <c r="A22" s="356"/>
      <c r="B22" s="374">
        <v>2.0299999999999998</v>
      </c>
      <c r="C22" s="374" t="s">
        <v>822</v>
      </c>
      <c r="D22" s="377" t="s">
        <v>2265</v>
      </c>
      <c r="E22" s="365" t="s">
        <v>437</v>
      </c>
      <c r="F22" s="188" t="s">
        <v>460</v>
      </c>
      <c r="G22" s="31"/>
    </row>
    <row r="23" spans="1:7" ht="109.5" customHeight="1">
      <c r="A23" s="356"/>
      <c r="B23" s="375"/>
      <c r="C23" s="375"/>
      <c r="D23" s="378"/>
      <c r="E23" s="366"/>
      <c r="F23" s="189" t="s">
        <v>823</v>
      </c>
      <c r="G23" s="31"/>
    </row>
    <row r="24" spans="1:7" ht="74.25" customHeight="1">
      <c r="A24" s="356"/>
      <c r="B24" s="376"/>
      <c r="C24" s="376"/>
      <c r="D24" s="379"/>
      <c r="E24" s="367"/>
      <c r="F24" s="34" t="s">
        <v>436</v>
      </c>
      <c r="G24" s="31"/>
    </row>
    <row r="25" spans="1:7" ht="72" customHeight="1">
      <c r="A25" s="356"/>
      <c r="B25" s="2" t="s">
        <v>458</v>
      </c>
      <c r="C25" s="34" t="s">
        <v>459</v>
      </c>
      <c r="D25" s="36" t="s">
        <v>2266</v>
      </c>
      <c r="E25" s="34" t="s">
        <v>2261</v>
      </c>
      <c r="F25" s="34" t="s">
        <v>461</v>
      </c>
      <c r="G25" s="31"/>
    </row>
    <row r="26" spans="1:7" ht="98.1" customHeight="1">
      <c r="A26" s="356"/>
      <c r="B26" s="371">
        <v>3</v>
      </c>
      <c r="C26" s="362" t="s">
        <v>70</v>
      </c>
      <c r="D26" s="368" t="s">
        <v>2267</v>
      </c>
      <c r="E26" s="365" t="s">
        <v>0</v>
      </c>
      <c r="F26" s="188" t="s">
        <v>64</v>
      </c>
      <c r="G26" s="31"/>
    </row>
    <row r="27" spans="1:7" ht="90" customHeight="1">
      <c r="A27" s="356"/>
      <c r="B27" s="372"/>
      <c r="C27" s="363"/>
      <c r="D27" s="369"/>
      <c r="E27" s="366"/>
      <c r="F27" s="189" t="s">
        <v>59</v>
      </c>
      <c r="G27" s="31"/>
    </row>
    <row r="28" spans="1:7" ht="19.350000000000001" customHeight="1">
      <c r="A28" s="356"/>
      <c r="B28" s="372"/>
      <c r="C28" s="363"/>
      <c r="D28" s="369"/>
      <c r="E28" s="366"/>
      <c r="F28" s="189" t="s">
        <v>60</v>
      </c>
      <c r="G28" s="31"/>
    </row>
    <row r="29" spans="1:7" ht="74.650000000000006" customHeight="1">
      <c r="A29" s="356"/>
      <c r="B29" s="372"/>
      <c r="C29" s="363"/>
      <c r="D29" s="369"/>
      <c r="E29" s="366"/>
      <c r="F29" s="189" t="s">
        <v>61</v>
      </c>
      <c r="G29" s="31"/>
    </row>
    <row r="30" spans="1:7" ht="62.65" customHeight="1">
      <c r="A30" s="356"/>
      <c r="B30" s="372"/>
      <c r="C30" s="363"/>
      <c r="D30" s="369"/>
      <c r="E30" s="366"/>
      <c r="F30" s="189" t="s">
        <v>62</v>
      </c>
      <c r="G30" s="31"/>
    </row>
    <row r="31" spans="1:7" ht="81" customHeight="1">
      <c r="A31" s="356"/>
      <c r="B31" s="372"/>
      <c r="C31" s="363"/>
      <c r="D31" s="369"/>
      <c r="E31" s="366"/>
      <c r="F31" s="189" t="s">
        <v>63</v>
      </c>
      <c r="G31" s="31"/>
    </row>
    <row r="32" spans="1:7" ht="48.75" customHeight="1">
      <c r="A32" s="356"/>
      <c r="B32" s="372"/>
      <c r="C32" s="363"/>
      <c r="D32" s="369"/>
      <c r="E32" s="366"/>
      <c r="F32" s="189" t="s">
        <v>66</v>
      </c>
      <c r="G32" s="31"/>
    </row>
    <row r="33" spans="1:7" ht="98.65" customHeight="1">
      <c r="A33" s="356"/>
      <c r="B33" s="372"/>
      <c r="C33" s="363"/>
      <c r="D33" s="369"/>
      <c r="E33" s="366"/>
      <c r="F33" s="189" t="s">
        <v>65</v>
      </c>
      <c r="G33" s="31"/>
    </row>
    <row r="34" spans="1:7" ht="89.1" customHeight="1">
      <c r="A34" s="356"/>
      <c r="B34" s="372"/>
      <c r="C34" s="363"/>
      <c r="D34" s="369"/>
      <c r="E34" s="366"/>
      <c r="F34" s="189" t="s">
        <v>67</v>
      </c>
      <c r="G34" s="31"/>
    </row>
    <row r="35" spans="1:7" ht="29.1" customHeight="1">
      <c r="A35" s="356"/>
      <c r="B35" s="372"/>
      <c r="C35" s="363"/>
      <c r="D35" s="369"/>
      <c r="E35" s="366"/>
      <c r="F35" s="189" t="s">
        <v>68</v>
      </c>
      <c r="G35" s="31"/>
    </row>
    <row r="36" spans="1:7" ht="126.75">
      <c r="A36" s="356"/>
      <c r="B36" s="373"/>
      <c r="C36" s="364"/>
      <c r="D36" s="370"/>
      <c r="E36" s="367"/>
      <c r="F36" s="190" t="s">
        <v>69</v>
      </c>
      <c r="G36" s="31"/>
    </row>
    <row r="37" spans="1:7" ht="112.5">
      <c r="A37" s="356"/>
      <c r="B37" s="163">
        <v>3.01</v>
      </c>
      <c r="C37" s="164" t="s">
        <v>70</v>
      </c>
      <c r="D37" s="36" t="s">
        <v>2268</v>
      </c>
      <c r="E37" s="191" t="s">
        <v>1328</v>
      </c>
      <c r="F37" s="192" t="s">
        <v>1434</v>
      </c>
      <c r="G37" s="31"/>
    </row>
    <row r="38" spans="1:7" ht="101.25">
      <c r="A38" s="356"/>
      <c r="B38" s="163">
        <v>3.02</v>
      </c>
      <c r="C38" s="164" t="s">
        <v>1361</v>
      </c>
      <c r="D38" s="36" t="s">
        <v>2269</v>
      </c>
      <c r="E38" s="191" t="s">
        <v>1376</v>
      </c>
      <c r="F38" s="192" t="s">
        <v>1435</v>
      </c>
      <c r="G38" s="31"/>
    </row>
    <row r="39" spans="1:7" ht="101.25">
      <c r="A39" s="356"/>
      <c r="B39" s="173">
        <v>4</v>
      </c>
      <c r="C39" s="172" t="s">
        <v>1531</v>
      </c>
      <c r="D39" s="36" t="s">
        <v>2270</v>
      </c>
      <c r="E39" s="34" t="s">
        <v>2213</v>
      </c>
      <c r="F39" s="34" t="s">
        <v>1532</v>
      </c>
      <c r="G39" s="31"/>
    </row>
    <row r="40" spans="1:7" ht="56.25">
      <c r="A40" s="356"/>
      <c r="B40" s="163">
        <v>4.01</v>
      </c>
      <c r="C40" s="172" t="s">
        <v>1531</v>
      </c>
      <c r="D40" s="36" t="s">
        <v>2272</v>
      </c>
      <c r="E40" s="34" t="s">
        <v>2227</v>
      </c>
      <c r="F40" s="34" t="s">
        <v>2231</v>
      </c>
      <c r="G40" s="31"/>
    </row>
    <row r="41" spans="1:7" ht="56.25">
      <c r="A41" s="356"/>
      <c r="B41" s="163" t="s">
        <v>2259</v>
      </c>
      <c r="C41" s="172" t="s">
        <v>1531</v>
      </c>
      <c r="D41" s="36" t="s">
        <v>2271</v>
      </c>
      <c r="E41" s="34" t="s">
        <v>2262</v>
      </c>
      <c r="F41" s="34" t="s">
        <v>2260</v>
      </c>
      <c r="G41" s="31"/>
    </row>
    <row r="42" spans="1:7" ht="56.25">
      <c r="A42" s="356"/>
      <c r="B42" s="163" t="s">
        <v>2295</v>
      </c>
      <c r="C42" s="172" t="s">
        <v>1531</v>
      </c>
      <c r="D42" s="36" t="s">
        <v>2302</v>
      </c>
      <c r="E42" s="34" t="s">
        <v>2261</v>
      </c>
      <c r="F42" s="34" t="s">
        <v>2296</v>
      </c>
      <c r="G42" s="31"/>
    </row>
    <row r="43" spans="1:7" ht="123.75">
      <c r="A43" s="356"/>
      <c r="B43" s="184">
        <v>4.0999999999999996</v>
      </c>
      <c r="C43" s="172" t="s">
        <v>2301</v>
      </c>
      <c r="D43" s="185">
        <v>42867</v>
      </c>
      <c r="E43" s="193" t="s">
        <v>2304</v>
      </c>
      <c r="F43" s="34" t="s">
        <v>2303</v>
      </c>
      <c r="G43" s="31"/>
    </row>
    <row r="44" spans="1:7" ht="78.75">
      <c r="A44" s="356"/>
      <c r="B44" s="184">
        <v>4.2</v>
      </c>
      <c r="C44" s="172" t="s">
        <v>2301</v>
      </c>
      <c r="D44" s="185">
        <v>42704</v>
      </c>
      <c r="E44" s="193" t="s">
        <v>2503</v>
      </c>
      <c r="F44" s="34" t="s">
        <v>2478</v>
      </c>
      <c r="G44" s="31"/>
    </row>
    <row r="45" spans="1:7" ht="157.5">
      <c r="A45" s="356"/>
      <c r="B45" s="233">
        <v>5</v>
      </c>
      <c r="C45" s="172" t="s">
        <v>2301</v>
      </c>
      <c r="D45" s="185">
        <v>42867</v>
      </c>
      <c r="E45" s="193" t="s">
        <v>12784</v>
      </c>
      <c r="F45" s="34" t="s">
        <v>12506</v>
      </c>
      <c r="G45" s="31"/>
    </row>
    <row r="46" spans="1:7" ht="45">
      <c r="A46" s="356"/>
      <c r="B46" s="184">
        <v>5.01</v>
      </c>
      <c r="C46" s="172" t="s">
        <v>2301</v>
      </c>
      <c r="D46" s="185">
        <v>42907</v>
      </c>
      <c r="E46" s="193" t="s">
        <v>15650</v>
      </c>
      <c r="F46" s="34" t="s">
        <v>12506</v>
      </c>
      <c r="G46" s="31"/>
    </row>
    <row r="47" spans="1:7" ht="67.5">
      <c r="A47" s="356"/>
      <c r="B47" s="184">
        <v>5.0999999999999996</v>
      </c>
      <c r="C47" s="172" t="s">
        <v>2301</v>
      </c>
      <c r="D47" s="185">
        <v>43070</v>
      </c>
      <c r="E47" s="193" t="s">
        <v>12994</v>
      </c>
      <c r="F47" s="34" t="s">
        <v>12995</v>
      </c>
      <c r="G47" s="31"/>
    </row>
    <row r="48" spans="1:7" ht="56.25">
      <c r="A48" s="356"/>
      <c r="B48" s="184">
        <v>5.1100000000000003</v>
      </c>
      <c r="C48" s="172" t="s">
        <v>13232</v>
      </c>
      <c r="D48" s="185">
        <v>43217</v>
      </c>
      <c r="E48" s="193" t="s">
        <v>13358</v>
      </c>
      <c r="F48" s="34" t="s">
        <v>13266</v>
      </c>
      <c r="G48" s="31"/>
    </row>
    <row r="49" spans="1:7" ht="56.25">
      <c r="A49" s="356"/>
      <c r="B49" s="184">
        <v>5.12</v>
      </c>
      <c r="C49" s="172" t="s">
        <v>13232</v>
      </c>
      <c r="D49" s="185">
        <v>43581</v>
      </c>
      <c r="E49" s="193" t="s">
        <v>13358</v>
      </c>
      <c r="F49" s="34" t="s">
        <v>13920</v>
      </c>
      <c r="G49" s="31"/>
    </row>
    <row r="50" spans="1:7" ht="78.75">
      <c r="A50" s="356"/>
      <c r="B50" s="233">
        <v>6</v>
      </c>
      <c r="C50" s="172" t="s">
        <v>13232</v>
      </c>
      <c r="D50" s="185">
        <v>43964</v>
      </c>
      <c r="E50" s="193" t="s">
        <v>14138</v>
      </c>
      <c r="F50" s="34" t="s">
        <v>13925</v>
      </c>
      <c r="G50" s="31"/>
    </row>
    <row r="51" spans="1:7" ht="45">
      <c r="A51" s="356"/>
      <c r="B51" s="184">
        <v>6.01</v>
      </c>
      <c r="C51" s="172" t="s">
        <v>13232</v>
      </c>
      <c r="D51" s="185">
        <v>43970</v>
      </c>
      <c r="E51" s="193" t="s">
        <v>15651</v>
      </c>
      <c r="F51" s="193" t="s">
        <v>13925</v>
      </c>
      <c r="G51" s="31"/>
    </row>
    <row r="52" spans="1:7" ht="45">
      <c r="A52" s="356"/>
      <c r="B52" s="184">
        <v>6.1</v>
      </c>
      <c r="C52" s="172" t="s">
        <v>13232</v>
      </c>
      <c r="D52" s="185">
        <v>44314</v>
      </c>
      <c r="E52" s="193" t="s">
        <v>15631</v>
      </c>
      <c r="F52" s="193" t="s">
        <v>15144</v>
      </c>
      <c r="G52" s="31"/>
    </row>
    <row r="53" spans="1:7" ht="45">
      <c r="A53" s="356"/>
      <c r="B53" s="184">
        <v>6.2</v>
      </c>
      <c r="C53" s="172" t="s">
        <v>13232</v>
      </c>
      <c r="D53" s="185">
        <v>44678</v>
      </c>
      <c r="E53" s="193" t="s">
        <v>15631</v>
      </c>
      <c r="F53" s="193" t="s">
        <v>15624</v>
      </c>
      <c r="G53" s="31"/>
    </row>
    <row r="54" spans="1:7" ht="45">
      <c r="A54" s="356"/>
      <c r="B54" s="184">
        <v>6.21</v>
      </c>
      <c r="C54" s="172" t="s">
        <v>13232</v>
      </c>
      <c r="D54" s="185">
        <v>44687</v>
      </c>
      <c r="E54" s="193" t="s">
        <v>15652</v>
      </c>
      <c r="F54" s="193" t="s">
        <v>15624</v>
      </c>
      <c r="G54" s="31"/>
    </row>
    <row r="55" spans="1:7" ht="45">
      <c r="A55" s="356"/>
      <c r="B55" s="184">
        <v>6.22</v>
      </c>
      <c r="C55" s="172" t="s">
        <v>13232</v>
      </c>
      <c r="D55" s="348">
        <v>44692</v>
      </c>
      <c r="E55" s="193" t="s">
        <v>15651</v>
      </c>
      <c r="F55" s="193" t="s">
        <v>15624</v>
      </c>
      <c r="G55" s="31"/>
    </row>
    <row r="56" spans="1:7" ht="13.5" thickBot="1">
      <c r="A56" s="357"/>
      <c r="B56" s="358" t="str">
        <f ca="1">OFFSET(L!$C$1,MATCH("General"&amp;"Cpy",L!$A:$A,0)-1,SL,,)</f>
        <v>© 2022 Responsible Minerals Initiative. All rights reserved.</v>
      </c>
      <c r="C56" s="358"/>
      <c r="D56" s="358"/>
      <c r="E56" s="358"/>
      <c r="F56" s="358"/>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topLeftCell="B1" zoomScalePageLayoutView="70" workbookViewId="0">
      <selection activeCell="D93" sqref="D9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04"/>
      <c r="B1" s="405"/>
      <c r="C1" s="405"/>
      <c r="D1" s="405"/>
      <c r="E1" s="405"/>
      <c r="F1" s="405"/>
      <c r="G1" s="405"/>
      <c r="H1" s="405"/>
      <c r="I1" s="405"/>
      <c r="J1" s="405"/>
      <c r="K1" s="406"/>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7" t="str">
        <f ca="1">OFFSET(L!$C$1,MATCH("Declaration"&amp;ADDRESS(ROW(),COLUMN(),4),L!$A:$A,0)-1,SL,,)</f>
        <v>Conflict Minerals Reporting Template (CMRT)</v>
      </c>
      <c r="E2" s="408"/>
      <c r="F2" s="408"/>
      <c r="G2" s="408"/>
      <c r="H2" s="408"/>
      <c r="I2" s="408"/>
      <c r="J2" s="409"/>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20"/>
      <c r="G3" s="420"/>
      <c r="H3" s="420"/>
      <c r="I3" s="175"/>
      <c r="J3" s="160" t="s">
        <v>15654</v>
      </c>
      <c r="K3" s="44"/>
      <c r="L3" s="133"/>
      <c r="M3" s="124"/>
      <c r="N3" s="124"/>
      <c r="O3" s="125"/>
      <c r="P3" s="138">
        <f>MATCH($D$3,LN,0)</f>
        <v>1</v>
      </c>
    </row>
    <row r="4" spans="1:34" ht="15.75">
      <c r="A4" s="42"/>
      <c r="B4" s="416" t="str">
        <f ca="1">OFFSET(L!$C$1,MATCH("Declaration"&amp;ADDRESS(ROW(),COLUMN(),4),L!$A:$A,0)-1,SL,,)</f>
        <v>The purpose of this document is to collect sourcing information on tin, tantalum, tungsten and gold used in products</v>
      </c>
      <c r="C4" s="416"/>
      <c r="D4" s="416"/>
      <c r="E4" s="416"/>
      <c r="F4" s="416"/>
      <c r="G4" s="416"/>
      <c r="H4" s="416"/>
      <c r="I4" s="421" t="str">
        <f ca="1">OFFSET(L!$C$1,MATCH("Declaration"&amp;ADDRESS(ROW(),COLUMN(),4),L!$A:$A,0)-1,SL,,)</f>
        <v>Link to Terms &amp; Conditions</v>
      </c>
      <c r="J4" s="421"/>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25" t="str">
        <f ca="1">OFFSET(L!$C$1,MATCH("Declaration"&amp;ADDRESS(ROW(),COLUMN(),4),L!$A:$A,0)-1,SL,,)</f>
        <v>Company Information</v>
      </c>
      <c r="C7" s="425"/>
      <c r="D7" s="425"/>
      <c r="E7" s="425"/>
      <c r="F7" s="425"/>
      <c r="G7" s="425"/>
      <c r="H7" s="425"/>
      <c r="I7" s="425"/>
      <c r="J7" s="425"/>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10" t="s">
        <v>15655</v>
      </c>
      <c r="E8" s="411"/>
      <c r="F8" s="411"/>
      <c r="G8" s="411"/>
      <c r="H8" s="411"/>
      <c r="I8" s="411"/>
      <c r="J8" s="412"/>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22" t="s">
        <v>494</v>
      </c>
      <c r="E9" s="423"/>
      <c r="F9" s="423"/>
      <c r="G9" s="424"/>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26" t="str">
        <f ca="1">OFFSET(L!$C$1,MATCH("Declaration"&amp;ADDRESS(ROW(),COLUMN(),4)&amp;LEFT($D$9,1),L!$A:$A,0)-1,SL,,)</f>
        <v>Description of Scope:</v>
      </c>
      <c r="C10" s="144"/>
      <c r="D10" s="417"/>
      <c r="E10" s="418"/>
      <c r="F10" s="418"/>
      <c r="G10" s="418"/>
      <c r="H10" s="418"/>
      <c r="I10" s="418"/>
      <c r="J10" s="419"/>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27"/>
      <c r="C11" s="144"/>
      <c r="D11" s="433" t="str">
        <f ca="1">IF(D9=Q9,OFFSET(L!$C$1,MATCH("Declaration"&amp;ADDRESS(ROW(),COLUMN(),4),L!$A:$A,0)-1,SL,,),"")</f>
        <v/>
      </c>
      <c r="E11" s="434"/>
      <c r="F11" s="434"/>
      <c r="G11" s="434"/>
      <c r="H11" s="434"/>
      <c r="I11" s="434"/>
      <c r="J11" s="435"/>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3"/>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3"/>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3"/>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3" t="s">
        <v>15656</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28" t="s">
        <v>15657</v>
      </c>
      <c r="E16" s="429"/>
      <c r="F16" s="429"/>
      <c r="G16" s="429"/>
      <c r="H16" s="429"/>
      <c r="I16" s="429"/>
      <c r="J16" s="430"/>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3" t="s">
        <v>15658</v>
      </c>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446" t="s">
        <v>15656</v>
      </c>
      <c r="E18" s="447"/>
      <c r="F18" s="447"/>
      <c r="G18" s="447"/>
      <c r="H18" s="447"/>
      <c r="I18" s="447"/>
      <c r="J18" s="44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3" t="s">
        <v>15659</v>
      </c>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28" t="s">
        <v>15657</v>
      </c>
      <c r="E20" s="429"/>
      <c r="F20" s="429"/>
      <c r="G20" s="429"/>
      <c r="H20" s="429"/>
      <c r="I20" s="429"/>
      <c r="J20" s="430"/>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386"/>
      <c r="E21" s="387"/>
      <c r="F21" s="387"/>
      <c r="G21" s="387"/>
      <c r="H21" s="387"/>
      <c r="I21" s="387"/>
      <c r="J21" s="388"/>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391">
        <v>44860</v>
      </c>
      <c r="E22" s="392"/>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38"/>
      <c r="E23" s="438"/>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393" t="str">
        <f ca="1">OFFSET(L!$C$1,MATCH("Declaration"&amp;ADDRESS(ROW(),COLUMN(),4),L!$A:$A,0)-1,SL,,)</f>
        <v>Answer the following questions 1 - 8 based on the declaration scope indicated above</v>
      </c>
      <c r="C24" s="393"/>
      <c r="D24" s="393"/>
      <c r="E24" s="393"/>
      <c r="F24" s="393"/>
      <c r="G24" s="393"/>
      <c r="H24" s="393"/>
      <c r="I24" s="393"/>
      <c r="J24" s="393"/>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00" t="str">
        <f ca="1">OFFSET(L!$C$1,MATCH("Declaration"&amp;ADDRESS(ROW(),COLUMN(),4),L!$A:$A,0)-1,SL,,)</f>
        <v>Answer</v>
      </c>
      <c r="E25" s="400"/>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89" t="s">
        <v>180</v>
      </c>
      <c r="E26" s="390"/>
      <c r="F26" s="15"/>
      <c r="G26" s="397"/>
      <c r="H26" s="398"/>
      <c r="I26" s="398"/>
      <c r="J26" s="399"/>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89" t="s">
        <v>15660</v>
      </c>
      <c r="E27" s="390"/>
      <c r="F27" s="15"/>
      <c r="G27" s="397"/>
      <c r="H27" s="398"/>
      <c r="I27" s="398"/>
      <c r="J27" s="399"/>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 xml:space="preserve">Gold  </v>
      </c>
      <c r="C28" s="43"/>
      <c r="D28" s="389" t="s">
        <v>180</v>
      </c>
      <c r="E28" s="390"/>
      <c r="F28" s="15"/>
      <c r="G28" s="397"/>
      <c r="H28" s="398"/>
      <c r="I28" s="398"/>
      <c r="J28" s="399"/>
      <c r="K28" s="44"/>
      <c r="L28" s="136"/>
      <c r="M28" s="124"/>
      <c r="N28" s="124"/>
      <c r="O28" s="124"/>
      <c r="P28" s="138" t="str">
        <f>IF(D$28="No","","(*)")</f>
        <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89" t="s">
        <v>180</v>
      </c>
      <c r="E29" s="390"/>
      <c r="F29" s="15"/>
      <c r="G29" s="397"/>
      <c r="H29" s="398"/>
      <c r="I29" s="398"/>
      <c r="J29" s="399"/>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4" t="str">
        <f ca="1">D25</f>
        <v>Answer</v>
      </c>
      <c r="E31" s="394"/>
      <c r="F31" s="21"/>
      <c r="G31" s="52" t="str">
        <f ca="1">G25</f>
        <v>Comments</v>
      </c>
      <c r="H31" s="52"/>
      <c r="I31" s="52"/>
      <c r="J31" s="93"/>
      <c r="K31" s="44"/>
      <c r="L31" s="130" t="s">
        <v>1243</v>
      </c>
      <c r="M31" s="124"/>
      <c r="N31" s="124"/>
      <c r="O31" s="125"/>
      <c r="P31" s="53">
        <f>COUNTIF(D$26:D$29,"No")</f>
        <v>3</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395"/>
      <c r="E32" s="396"/>
      <c r="F32" s="55"/>
      <c r="G32" s="397"/>
      <c r="H32" s="398"/>
      <c r="I32" s="398"/>
      <c r="J32" s="399"/>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89" t="s">
        <v>15660</v>
      </c>
      <c r="E33" s="390"/>
      <c r="F33" s="55"/>
      <c r="G33" s="397"/>
      <c r="H33" s="398"/>
      <c r="I33" s="398"/>
      <c r="J33" s="399"/>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 xml:space="preserve">Gold  </v>
      </c>
      <c r="C34" s="13"/>
      <c r="D34" s="389"/>
      <c r="E34" s="390"/>
      <c r="F34" s="55"/>
      <c r="G34" s="397"/>
      <c r="H34" s="398"/>
      <c r="I34" s="398"/>
      <c r="J34" s="399"/>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389"/>
      <c r="E35" s="390"/>
      <c r="F35" s="55"/>
      <c r="G35" s="397"/>
      <c r="H35" s="398"/>
      <c r="I35" s="398"/>
      <c r="J35" s="399"/>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4" t="str">
        <f ca="1">D25</f>
        <v>Answer</v>
      </c>
      <c r="E37" s="394"/>
      <c r="F37" s="21"/>
      <c r="G37" s="52" t="str">
        <f ca="1">G25</f>
        <v>Comments</v>
      </c>
      <c r="H37" s="437"/>
      <c r="I37" s="437"/>
      <c r="J37" s="437"/>
      <c r="K37" s="44"/>
      <c r="L37" s="130" t="s">
        <v>1243</v>
      </c>
      <c r="M37" s="124"/>
      <c r="N37" s="124"/>
      <c r="O37" s="125"/>
      <c r="P37" s="53">
        <f>COUNTIF(D$26:D$29,"No")+COUNTIF(D$32:D$35,"No")</f>
        <v>3</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89"/>
      <c r="E38" s="390"/>
      <c r="F38" s="55"/>
      <c r="G38" s="397"/>
      <c r="H38" s="398"/>
      <c r="I38" s="398"/>
      <c r="J38" s="399"/>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89" t="s">
        <v>490</v>
      </c>
      <c r="E39" s="390"/>
      <c r="F39" s="55"/>
      <c r="G39" s="397"/>
      <c r="H39" s="398"/>
      <c r="I39" s="398"/>
      <c r="J39" s="399"/>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 xml:space="preserve">Gold  </v>
      </c>
      <c r="C40" s="13"/>
      <c r="D40" s="389"/>
      <c r="E40" s="390"/>
      <c r="F40" s="55"/>
      <c r="G40" s="397"/>
      <c r="H40" s="398"/>
      <c r="I40" s="398"/>
      <c r="J40" s="399"/>
      <c r="K40" s="44"/>
      <c r="L40" s="136"/>
      <c r="M40" s="124"/>
      <c r="N40" s="124"/>
      <c r="O40" s="125"/>
      <c r="P40" s="138" t="str">
        <f>IF((OR(D$28="No",D$34="No")),"","(*)")</f>
        <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389"/>
      <c r="E41" s="390"/>
      <c r="F41" s="55"/>
      <c r="G41" s="397"/>
      <c r="H41" s="398"/>
      <c r="I41" s="398"/>
      <c r="J41" s="399"/>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4" t="str">
        <f ca="1">D25</f>
        <v>Answer</v>
      </c>
      <c r="E43" s="394"/>
      <c r="F43" s="21"/>
      <c r="G43" s="52" t="str">
        <f ca="1">G25</f>
        <v>Comments</v>
      </c>
      <c r="H43" s="52"/>
      <c r="I43" s="52"/>
      <c r="J43" s="93"/>
      <c r="K43" s="44"/>
      <c r="L43" s="130"/>
      <c r="M43" s="124"/>
      <c r="N43" s="124"/>
      <c r="O43" s="125"/>
      <c r="P43" s="53">
        <f>COUNTIF(D$26:D$29,"No")+COUNTIF(D$32:D$35,"No")</f>
        <v>3</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89"/>
      <c r="E44" s="390"/>
      <c r="F44" s="55"/>
      <c r="G44" s="397"/>
      <c r="H44" s="398"/>
      <c r="I44" s="398"/>
      <c r="J44" s="399"/>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9" t="s">
        <v>490</v>
      </c>
      <c r="E45" s="390"/>
      <c r="F45" s="55"/>
      <c r="G45" s="397"/>
      <c r="H45" s="398"/>
      <c r="I45" s="398"/>
      <c r="J45" s="399"/>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 xml:space="preserve">Gold  </v>
      </c>
      <c r="C46" s="13"/>
      <c r="D46" s="389"/>
      <c r="E46" s="390"/>
      <c r="F46" s="55"/>
      <c r="G46" s="397"/>
      <c r="H46" s="398"/>
      <c r="I46" s="398"/>
      <c r="J46" s="399"/>
      <c r="K46" s="44"/>
      <c r="L46" s="130"/>
      <c r="M46" s="124"/>
      <c r="N46" s="124"/>
      <c r="O46" s="125"/>
      <c r="P46" s="138"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89"/>
      <c r="E47" s="390"/>
      <c r="F47" s="55"/>
      <c r="G47" s="397"/>
      <c r="H47" s="398"/>
      <c r="I47" s="398"/>
      <c r="J47" s="399"/>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4" t="str">
        <f ca="1">D25</f>
        <v>Answer</v>
      </c>
      <c r="E49" s="394"/>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89"/>
      <c r="E50" s="390"/>
      <c r="F50" s="55"/>
      <c r="G50" s="397"/>
      <c r="H50" s="398"/>
      <c r="I50" s="398"/>
      <c r="J50" s="399"/>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89" t="s">
        <v>490</v>
      </c>
      <c r="E51" s="390"/>
      <c r="F51" s="55"/>
      <c r="G51" s="397"/>
      <c r="H51" s="398"/>
      <c r="I51" s="398"/>
      <c r="J51" s="399"/>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 xml:space="preserve">Gold  </v>
      </c>
      <c r="C52" s="13"/>
      <c r="D52" s="389"/>
      <c r="E52" s="390"/>
      <c r="F52" s="55"/>
      <c r="G52" s="397"/>
      <c r="H52" s="398"/>
      <c r="I52" s="398"/>
      <c r="J52" s="399"/>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389"/>
      <c r="E53" s="390"/>
      <c r="F53" s="55"/>
      <c r="G53" s="397"/>
      <c r="H53" s="398"/>
      <c r="I53" s="398"/>
      <c r="J53" s="399"/>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4" t="str">
        <f ca="1">D25</f>
        <v>Answer</v>
      </c>
      <c r="E55" s="394"/>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31"/>
      <c r="E56" s="432"/>
      <c r="F56" s="55"/>
      <c r="G56" s="397"/>
      <c r="H56" s="398"/>
      <c r="I56" s="398"/>
      <c r="J56" s="399"/>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31" t="s">
        <v>491</v>
      </c>
      <c r="E57" s="432"/>
      <c r="F57" s="55"/>
      <c r="G57" s="397"/>
      <c r="H57" s="398"/>
      <c r="I57" s="398"/>
      <c r="J57" s="399"/>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 xml:space="preserve">Gold  </v>
      </c>
      <c r="C58" s="43"/>
      <c r="D58" s="431"/>
      <c r="E58" s="432"/>
      <c r="F58" s="55"/>
      <c r="G58" s="397"/>
      <c r="H58" s="398"/>
      <c r="I58" s="398"/>
      <c r="J58" s="399"/>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31"/>
      <c r="E59" s="432"/>
      <c r="F59" s="55"/>
      <c r="G59" s="397"/>
      <c r="H59" s="398"/>
      <c r="I59" s="398"/>
      <c r="J59" s="399"/>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4" t="str">
        <f ca="1">D25</f>
        <v>Answer</v>
      </c>
      <c r="E61" s="394"/>
      <c r="F61" s="21"/>
      <c r="G61" s="52" t="str">
        <f ca="1">G25</f>
        <v>Comments</v>
      </c>
      <c r="H61" s="436"/>
      <c r="I61" s="436"/>
      <c r="J61" s="436"/>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395"/>
      <c r="E62" s="396"/>
      <c r="F62" s="55"/>
      <c r="G62" s="397"/>
      <c r="H62" s="398"/>
      <c r="I62" s="398"/>
      <c r="J62" s="399"/>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89" t="s">
        <v>489</v>
      </c>
      <c r="E63" s="390"/>
      <c r="F63" s="55"/>
      <c r="G63" s="397"/>
      <c r="H63" s="398"/>
      <c r="I63" s="398"/>
      <c r="J63" s="399"/>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 xml:space="preserve">Gold  </v>
      </c>
      <c r="C64" s="13"/>
      <c r="D64" s="389"/>
      <c r="E64" s="390"/>
      <c r="F64" s="55"/>
      <c r="G64" s="397"/>
      <c r="H64" s="398"/>
      <c r="I64" s="398"/>
      <c r="J64" s="399"/>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389"/>
      <c r="E65" s="390"/>
      <c r="F65" s="55"/>
      <c r="G65" s="397"/>
      <c r="H65" s="398"/>
      <c r="I65" s="398"/>
      <c r="J65" s="399"/>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4" t="str">
        <f ca="1">D25</f>
        <v>Answer</v>
      </c>
      <c r="E67" s="394"/>
      <c r="F67" s="21"/>
      <c r="G67" s="52" t="str">
        <f ca="1">G25</f>
        <v>Comments</v>
      </c>
      <c r="H67" s="436" t="str">
        <f>IF(Q75="(*)","Click here to enter smelter names","")</f>
        <v/>
      </c>
      <c r="I67" s="436"/>
      <c r="J67" s="436"/>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89"/>
      <c r="E68" s="390"/>
      <c r="F68" s="56"/>
      <c r="G68" s="397"/>
      <c r="H68" s="398"/>
      <c r="I68" s="398"/>
      <c r="J68" s="399"/>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89" t="s">
        <v>489</v>
      </c>
      <c r="E69" s="390"/>
      <c r="F69" s="56"/>
      <c r="G69" s="397"/>
      <c r="H69" s="398"/>
      <c r="I69" s="398"/>
      <c r="J69" s="399"/>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 xml:space="preserve">Gold  </v>
      </c>
      <c r="C70" s="43"/>
      <c r="D70" s="389"/>
      <c r="E70" s="390"/>
      <c r="F70" s="56"/>
      <c r="G70" s="397"/>
      <c r="H70" s="398"/>
      <c r="I70" s="398"/>
      <c r="J70" s="399"/>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389"/>
      <c r="E71" s="390"/>
      <c r="F71" s="58"/>
      <c r="G71" s="397"/>
      <c r="H71" s="398"/>
      <c r="I71" s="398"/>
      <c r="J71" s="399"/>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49" t="str">
        <f ca="1">OFFSET(L!$C$1,MATCH("Declaration"&amp;ADDRESS(ROW(),COLUMN(),4),L!$A:$A,0)-1,SL,,)</f>
        <v>Answer the Following Questions at a Company Level</v>
      </c>
      <c r="C73" s="449"/>
      <c r="D73" s="449"/>
      <c r="E73" s="449"/>
      <c r="F73" s="449"/>
      <c r="G73" s="449"/>
      <c r="H73" s="449"/>
      <c r="I73" s="449"/>
      <c r="J73" s="449"/>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400" t="str">
        <f ca="1">D25</f>
        <v>Answer</v>
      </c>
      <c r="E74" s="400"/>
      <c r="F74" s="61"/>
      <c r="G74" s="400" t="str">
        <f ca="1">G25</f>
        <v>Comments</v>
      </c>
      <c r="H74" s="400" t="e">
        <f>HLOOKUP(SL,LT,$O74,0)</f>
        <v>#NAME?</v>
      </c>
      <c r="I74" s="400"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9" t="s">
        <v>180</v>
      </c>
      <c r="E75" s="390"/>
      <c r="F75" s="65"/>
      <c r="G75" s="397"/>
      <c r="H75" s="398"/>
      <c r="I75" s="398"/>
      <c r="J75" s="399"/>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44"/>
      <c r="H76" s="444"/>
      <c r="I76" s="444"/>
      <c r="J76" s="444"/>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t="s">
        <v>180</v>
      </c>
      <c r="E77" s="390"/>
      <c r="F77" s="65"/>
      <c r="G77" s="401"/>
      <c r="H77" s="402"/>
      <c r="I77" s="402"/>
      <c r="J77" s="403"/>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t="s">
        <v>180</v>
      </c>
      <c r="E79" s="390"/>
      <c r="F79" s="65"/>
      <c r="G79" s="397"/>
      <c r="H79" s="398"/>
      <c r="I79" s="398"/>
      <c r="J79" s="399"/>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9" t="s">
        <v>180</v>
      </c>
      <c r="E81" s="390"/>
      <c r="F81" s="65"/>
      <c r="G81" s="397"/>
      <c r="H81" s="398"/>
      <c r="I81" s="398"/>
      <c r="J81" s="399"/>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9" t="s">
        <v>180</v>
      </c>
      <c r="E83" s="390"/>
      <c r="F83" s="65"/>
      <c r="G83" s="397"/>
      <c r="H83" s="398"/>
      <c r="I83" s="398"/>
      <c r="J83" s="399"/>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42" t="s">
        <v>180</v>
      </c>
      <c r="E85" s="443"/>
      <c r="F85" s="65"/>
      <c r="G85" s="397"/>
      <c r="H85" s="398"/>
      <c r="I85" s="398"/>
      <c r="J85" s="399"/>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44"/>
      <c r="H86" s="444"/>
      <c r="I86" s="444"/>
      <c r="J86" s="444"/>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9" t="s">
        <v>180</v>
      </c>
      <c r="E87" s="390"/>
      <c r="F87" s="65"/>
      <c r="G87" s="397"/>
      <c r="H87" s="398"/>
      <c r="I87" s="398"/>
      <c r="J87" s="399"/>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45"/>
      <c r="H88" s="445"/>
      <c r="I88" s="445"/>
      <c r="J88" s="445"/>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9" t="s">
        <v>180</v>
      </c>
      <c r="E89" s="390"/>
      <c r="F89" s="65"/>
      <c r="G89" s="397"/>
      <c r="H89" s="398"/>
      <c r="I89" s="398"/>
      <c r="J89" s="399"/>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41" t="str">
        <f>IF(OR($D$8="",$I$3=""),"","Click here to check required fields completion")</f>
        <v/>
      </c>
      <c r="C90" s="441"/>
      <c r="D90" s="441"/>
      <c r="E90" s="441"/>
      <c r="F90" s="441"/>
      <c r="G90" s="441"/>
      <c r="H90" s="441"/>
      <c r="I90" s="441"/>
      <c r="J90" s="44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39" t="str">
        <f ca="1">OFFSET(L!$C$1,MATCH("General"&amp;"Cpy",L!$A:$A,0)-1,SL,,)</f>
        <v>© 2022 Responsible Minerals Initiative. All rights reserved.</v>
      </c>
      <c r="B91" s="440"/>
      <c r="C91" s="440"/>
      <c r="D91" s="440"/>
      <c r="E91" s="440"/>
      <c r="F91" s="440"/>
      <c r="G91" s="440"/>
      <c r="H91" s="440"/>
      <c r="I91" s="440"/>
      <c r="J91" s="44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Normal="100" zoomScalePageLayoutView="55" workbookViewId="0">
      <selection activeCell="C5" sqref="C5"/>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0" t="str">
        <f ca="1">OFFSET(L!$C$1,MATCH("Smelter List"&amp;ADDRESS(ROW(),COLUMN(),4),L!$A:$A,0)-1,SL,,)</f>
        <v>Link to "RMAP Conformant Smelter List"</v>
      </c>
      <c r="K2" s="451"/>
      <c r="L2" s="451"/>
      <c r="M2" s="451"/>
      <c r="N2" s="451"/>
      <c r="O2" s="451"/>
      <c r="P2" s="224"/>
      <c r="Q2" s="225"/>
      <c r="R2" s="226"/>
      <c r="S2" s="226"/>
      <c r="T2" s="226"/>
      <c r="U2" s="254"/>
      <c r="V2" s="254"/>
      <c r="W2" s="255"/>
      <c r="X2" s="254"/>
      <c r="Y2" s="254"/>
      <c r="Z2" s="254"/>
      <c r="AH2" s="167" t="s">
        <v>488</v>
      </c>
    </row>
    <row r="3" spans="1:34" s="256" customFormat="1" ht="173.45" customHeight="1">
      <c r="A3" s="195"/>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57"/>
      <c r="G3" s="453" t="str">
        <f ca="1">OFFSET(L!$C$1,MATCH("General"&amp;"Cpy",L!$A:$A,0)-1,SL,,)</f>
        <v>© 2022 Responsible Minerals Initiative. All rights reserved.</v>
      </c>
      <c r="H3" s="453"/>
      <c r="I3" s="45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c r="B5" s="208" t="s">
        <v>1131</v>
      </c>
      <c r="C5" s="212" t="s">
        <v>1324</v>
      </c>
      <c r="D5" s="270"/>
      <c r="E5" s="208"/>
      <c r="F5" s="208" t="str">
        <f ca="1">IF(ISERROR($V5),"",OFFSET('Smelter Look-up'!$E$4,$V5-4,0))</f>
        <v/>
      </c>
      <c r="G5" s="208" t="str">
        <f ca="1">IF(C5=$X$4,IF(ISERROR($V5),"Enter smelter details","RMI"),IF(ISERROR($V5),"",OFFSET('Smelter Look-up'!$F$4,$V5-4,0)))</f>
        <v/>
      </c>
      <c r="H5" s="209" t="str">
        <f ca="1">IF(ISERROR($V5),"",OFFSET('Smelter Look-up'!$G$4,$V5-4,0))</f>
        <v/>
      </c>
      <c r="I5" s="210" t="str">
        <f ca="1">IF(ISERROR($V5),"",OFFSET('Smelter Look-up'!$H$4,$V5-4,0))</f>
        <v/>
      </c>
      <c r="J5" s="210" t="str">
        <f ca="1">IF(ISERROR($V5),"",OFFSET('Smelter Look-up'!$I$4,$V5-4,0))</f>
        <v/>
      </c>
      <c r="K5" s="260"/>
      <c r="L5" s="260"/>
      <c r="M5" s="260"/>
      <c r="N5" s="260"/>
      <c r="O5" s="260"/>
      <c r="P5" s="211"/>
      <c r="Q5" s="261"/>
      <c r="R5" s="208" t="str">
        <f ca="1">IF(ISERROR($V5),"",OFFSET('Smelter Look-up'!$C$4,$V5-4,0)&amp;"")</f>
        <v/>
      </c>
      <c r="S5" s="215" t="str">
        <f t="shared" ref="S5" ca="1" si="0">IF(B5="","",IF(ISERROR(MATCH($E5,CL,0)),"Unknown",INDIRECT("'C'!$A$"&amp;MATCH($E5,CL,0)+1)))</f>
        <v>Unknown</v>
      </c>
      <c r="T5" s="215" t="str">
        <f ca="1">IF(B5="","",IF(ISERROR(MATCH($J5,SorP!$B$1:$B$6230,0)),"",INDIRECT("'SorP'!$A$"&amp;MATCH($J5,SorP!$B$1:$B$6230,0))))</f>
        <v/>
      </c>
      <c r="U5" s="231"/>
      <c r="V5" s="262" t="e">
        <f>IF(C5="",NA(),IF(OR(C5="Smelter not listed",C5="Smelter not yet identified"),MATCH($B5&amp;$D5,'Smelter Look-up'!$J:$J,0),MATCH($B5&amp;$C5,'Smelter Look-up'!$J:$J,0)))</f>
        <v>#N/A</v>
      </c>
      <c r="W5" s="263"/>
      <c r="X5" s="263">
        <f t="shared" ref="X5" si="1">IF(AND(C5="Smelter not listed",OR(LEN(D5)=0,LEN(E5)=0)),1,0)</f>
        <v>0</v>
      </c>
      <c r="Y5" s="263"/>
      <c r="Z5" s="263"/>
      <c r="AB5" s="265" t="str">
        <f t="shared" ref="AB5" si="2">B5&amp;C5</f>
        <v>TinSmelter not yet identified</v>
      </c>
    </row>
    <row r="6" spans="1:34" s="264" customFormat="1" ht="19.899999999999999" customHeight="1">
      <c r="A6" s="316"/>
      <c r="B6" s="208" t="str">
        <f>IF(LEN(A6)=0,"",INDEX('Smelter Look-up'!$A:$A,MATCH($A6,'Smelter Look-up'!$E:$E,0)))</f>
        <v/>
      </c>
      <c r="C6" s="212" t="str">
        <f>IF(LEN(A6)=0,"",INDEX('Smelter Look-up'!$C:$C,MATCH($A6,'Smelter Look-up'!$E:$E,0)))</f>
        <v/>
      </c>
      <c r="D6" s="270"/>
      <c r="E6" s="208" t="str">
        <f ca="1">IF(ISERROR($V6),"",OFFSET('Smelter Look-up'!$D$4,$V6-4,0)&amp;"")</f>
        <v/>
      </c>
      <c r="F6" s="208" t="str">
        <f ca="1">IF(ISERROR($V6),"",OFFSET('Smelter Look-up'!$E$4,$V6-4,0))</f>
        <v/>
      </c>
      <c r="G6" s="208" t="str">
        <f ca="1">IF(C6=$X$4,IF(ISERROR($V6),"Enter smelter details","RMI"),IF(ISERROR($V6),"",OFFSET('Smelter Look-up'!$F$4,$V6-4,0)))</f>
        <v/>
      </c>
      <c r="H6" s="209" t="str">
        <f ca="1">IF(ISERROR($V6),"",OFFSET('Smelter Look-up'!$G$4,$V6-4,0))</f>
        <v/>
      </c>
      <c r="I6" s="210" t="str">
        <f ca="1">IF(ISERROR($V6),"",OFFSET('Smelter Look-up'!$H$4,$V6-4,0))</f>
        <v/>
      </c>
      <c r="J6" s="210" t="str">
        <f ca="1">IF(ISERROR($V6),"",OFFSET('Smelter Look-up'!$I$4,$V6-4,0))</f>
        <v/>
      </c>
      <c r="K6" s="260"/>
      <c r="L6" s="260"/>
      <c r="M6" s="260"/>
      <c r="N6" s="260"/>
      <c r="O6" s="260"/>
      <c r="P6" s="211"/>
      <c r="Q6" s="261"/>
      <c r="R6" s="208" t="str">
        <f ca="1">IF(ISERROR($V6),"",OFFSET('Smelter Look-up'!$C$4,$V6-4,0)&amp;"")</f>
        <v/>
      </c>
      <c r="S6" s="215" t="str">
        <f t="shared" ref="S6:S37" ca="1" si="3">IF(B6="","",IF(ISERROR(MATCH($E6,CL,0)),"Unknown",INDIRECT("'C'!$A$"&amp;MATCH($E6,CL,0)+1)))</f>
        <v/>
      </c>
      <c r="T6" s="215" t="str">
        <f ca="1">IF(B6="","",IF(ISERROR(MATCH($J6,SorP!$B$1:$B$6230,0)),"",INDIRECT("'SorP'!$A$"&amp;MATCH($J6,SorP!$B$1:$B$6230,0))))</f>
        <v/>
      </c>
      <c r="U6" s="231"/>
      <c r="V6" s="262" t="e">
        <f>IF(C6="",NA(),IF(OR(C6="Smelter not listed",C6="Smelter not yet identified"),MATCH($B6&amp;$D6,'Smelter Look-up'!$J:$J,0),MATCH($B6&amp;$C6,'Smelter Look-up'!$J:$J,0)))</f>
        <v>#N/A</v>
      </c>
      <c r="W6" s="263"/>
      <c r="X6" s="263">
        <f t="shared" ref="X6:X37" ca="1" si="4">IF(AND(C6="Smelter not listed",OR(LEN(D6)=0,LEN(E6)=0)),1,0)</f>
        <v>0</v>
      </c>
      <c r="Y6" s="263"/>
      <c r="Z6" s="263"/>
      <c r="AB6" s="265" t="str">
        <f t="shared" ref="AB6:AB37" si="5">B6&amp;C6</f>
        <v/>
      </c>
    </row>
    <row r="7" spans="1:34" s="264" customFormat="1" ht="19.899999999999999" customHeight="1">
      <c r="A7" s="316"/>
      <c r="B7" s="208" t="str">
        <f>IF(LEN(A7)=0,"",INDEX('Smelter Look-up'!$A:$A,MATCH($A7,'Smelter Look-up'!$E:$E,0)))</f>
        <v/>
      </c>
      <c r="C7" s="212" t="str">
        <f>IF(LEN(A7)=0,"",INDEX('Smelter Look-up'!$C:$C,MATCH($A7,'Smelter Look-up'!$E:$E,0)))</f>
        <v/>
      </c>
      <c r="D7" s="270"/>
      <c r="E7" s="208" t="str">
        <f ca="1">IF(ISERROR($V7),"",OFFSET('Smelter Look-up'!$D$4,$V7-4,0)&amp;"")</f>
        <v/>
      </c>
      <c r="F7" s="208" t="str">
        <f ca="1">IF(ISERROR($V7),"",OFFSET('Smelter Look-up'!$E$4,$V7-4,0))</f>
        <v/>
      </c>
      <c r="G7" s="208" t="str">
        <f ca="1">IF(C7=$X$4,IF(ISERROR($V7),"Enter smelter details","RMI"),IF(ISERROR($V7),"",OFFSET('Smelter Look-up'!$F$4,$V7-4,0)))</f>
        <v/>
      </c>
      <c r="H7" s="209" t="str">
        <f ca="1">IF(ISERROR($V7),"",OFFSET('Smelter Look-up'!$G$4,$V7-4,0))</f>
        <v/>
      </c>
      <c r="I7" s="210" t="str">
        <f ca="1">IF(ISERROR($V7),"",OFFSET('Smelter Look-up'!$H$4,$V7-4,0))</f>
        <v/>
      </c>
      <c r="J7" s="210" t="str">
        <f ca="1">IF(ISERROR($V7),"",OFFSET('Smelter Look-up'!$I$4,$V7-4,0))</f>
        <v/>
      </c>
      <c r="K7" s="260"/>
      <c r="L7" s="260"/>
      <c r="M7" s="260"/>
      <c r="N7" s="260"/>
      <c r="O7" s="260"/>
      <c r="P7" s="211"/>
      <c r="Q7" s="261"/>
      <c r="R7" s="208" t="str">
        <f ca="1">IF(ISERROR($V7),"",OFFSET('Smelter Look-up'!$C$4,$V7-4,0)&amp;"")</f>
        <v/>
      </c>
      <c r="S7" s="215" t="str">
        <f t="shared" ca="1" si="3"/>
        <v/>
      </c>
      <c r="T7" s="215" t="str">
        <f ca="1">IF(B7="","",IF(ISERROR(MATCH($J7,SorP!$B$1:$B$6230,0)),"",INDIRECT("'SorP'!$A$"&amp;MATCH($J7,SorP!$B$1:$B$6230,0))))</f>
        <v/>
      </c>
      <c r="U7" s="231"/>
      <c r="V7" s="262" t="e">
        <f>IF(C7="",NA(),IF(OR(C7="Smelter not listed",C7="Smelter not yet identified"),MATCH($B7&amp;$D7,'Smelter Look-up'!$J:$J,0),MATCH($B7&amp;$C7,'Smelter Look-up'!$J:$J,0)))</f>
        <v>#N/A</v>
      </c>
      <c r="W7" s="263"/>
      <c r="X7" s="263">
        <f t="shared" ca="1" si="4"/>
        <v>0</v>
      </c>
      <c r="Y7" s="263"/>
      <c r="Z7" s="263"/>
      <c r="AB7" s="265" t="str">
        <f t="shared" si="5"/>
        <v/>
      </c>
    </row>
    <row r="8" spans="1:34" s="264" customFormat="1" ht="19.899999999999999" customHeight="1">
      <c r="A8" s="316"/>
      <c r="B8" s="208" t="str">
        <f>IF(LEN(A8)=0,"",INDEX('Smelter Look-up'!$A:$A,MATCH($A8,'Smelter Look-up'!$E:$E,0)))</f>
        <v/>
      </c>
      <c r="C8" s="212" t="str">
        <f>IF(LEN(A8)=0,"",INDEX('Smelter Look-up'!$C:$C,MATCH($A8,'Smelter Look-up'!$E:$E,0)))</f>
        <v/>
      </c>
      <c r="D8" s="270"/>
      <c r="E8" s="208" t="str">
        <f ca="1">IF(ISERROR($V8),"",OFFSET('Smelter Look-up'!$D$4,$V8-4,0)&amp;"")</f>
        <v/>
      </c>
      <c r="F8" s="208" t="str">
        <f ca="1">IF(ISERROR($V8),"",OFFSET('Smelter Look-up'!$E$4,$V8-4,0))</f>
        <v/>
      </c>
      <c r="G8" s="208" t="str">
        <f ca="1">IF(C8=$X$4,IF(ISERROR($V8),"Enter smelter details","RMI"),IF(ISERROR($V8),"",OFFSET('Smelter Look-up'!$F$4,$V8-4,0)))</f>
        <v/>
      </c>
      <c r="H8" s="209" t="str">
        <f ca="1">IF(ISERROR($V8),"",OFFSET('Smelter Look-up'!$G$4,$V8-4,0))</f>
        <v/>
      </c>
      <c r="I8" s="210" t="str">
        <f ca="1">IF(ISERROR($V8),"",OFFSET('Smelter Look-up'!$H$4,$V8-4,0))</f>
        <v/>
      </c>
      <c r="J8" s="210" t="str">
        <f ca="1">IF(ISERROR($V8),"",OFFSET('Smelter Look-up'!$I$4,$V8-4,0))</f>
        <v/>
      </c>
      <c r="K8" s="260"/>
      <c r="L8" s="260"/>
      <c r="M8" s="260"/>
      <c r="N8" s="260"/>
      <c r="O8" s="260"/>
      <c r="P8" s="211"/>
      <c r="Q8" s="261"/>
      <c r="R8" s="208" t="str">
        <f ca="1">IF(ISERROR($V8),"",OFFSET('Smelter Look-up'!$C$4,$V8-4,0)&amp;"")</f>
        <v/>
      </c>
      <c r="S8" s="215" t="str">
        <f t="shared" ca="1" si="3"/>
        <v/>
      </c>
      <c r="T8" s="215" t="str">
        <f ca="1">IF(B8="","",IF(ISERROR(MATCH($J8,SorP!$B$1:$B$6230,0)),"",INDIRECT("'SorP'!$A$"&amp;MATCH($J8,SorP!$B$1:$B$6230,0))))</f>
        <v/>
      </c>
      <c r="U8" s="231"/>
      <c r="V8" s="262" t="e">
        <f>IF(C8="",NA(),IF(OR(C8="Smelter not listed",C8="Smelter not yet identified"),MATCH($B8&amp;$D8,'Smelter Look-up'!$J:$J,0),MATCH($B8&amp;$C8,'Smelter Look-up'!$J:$J,0)))</f>
        <v>#N/A</v>
      </c>
      <c r="W8" s="263"/>
      <c r="X8" s="263">
        <f t="shared" ca="1" si="4"/>
        <v>0</v>
      </c>
      <c r="Y8" s="263"/>
      <c r="Z8" s="263"/>
      <c r="AB8" s="265" t="str">
        <f t="shared" si="5"/>
        <v/>
      </c>
    </row>
    <row r="9" spans="1:34" s="264" customFormat="1" ht="19.899999999999999" customHeight="1">
      <c r="A9" s="316"/>
      <c r="B9" s="208" t="str">
        <f>IF(LEN(A9)=0,"",INDEX('Smelter Look-up'!$A:$A,MATCH($A9,'Smelter Look-up'!$E:$E,0)))</f>
        <v/>
      </c>
      <c r="C9" s="212" t="str">
        <f>IF(LEN(A9)=0,"",INDEX('Smelter Look-up'!$C:$C,MATCH($A9,'Smelter Look-up'!$E:$E,0)))</f>
        <v/>
      </c>
      <c r="D9" s="270"/>
      <c r="E9" s="208" t="str">
        <f ca="1">IF(ISERROR($V9),"",OFFSET('Smelter Look-up'!$D$4,$V9-4,0)&amp;"")</f>
        <v/>
      </c>
      <c r="F9" s="208" t="str">
        <f ca="1">IF(ISERROR($V9),"",OFFSET('Smelter Look-up'!$E$4,$V9-4,0))</f>
        <v/>
      </c>
      <c r="G9" s="208" t="str">
        <f ca="1">IF(C9=$X$4,IF(ISERROR($V9),"Enter smelter details","RMI"),IF(ISERROR($V9),"",OFFSET('Smelter Look-up'!$F$4,$V9-4,0)))</f>
        <v/>
      </c>
      <c r="H9" s="209" t="str">
        <f ca="1">IF(ISERROR($V9),"",OFFSET('Smelter Look-up'!$G$4,$V9-4,0))</f>
        <v/>
      </c>
      <c r="I9" s="210" t="str">
        <f ca="1">IF(ISERROR($V9),"",OFFSET('Smelter Look-up'!$H$4,$V9-4,0))</f>
        <v/>
      </c>
      <c r="J9" s="210" t="str">
        <f ca="1">IF(ISERROR($V9),"",OFFSET('Smelter Look-up'!$I$4,$V9-4,0))</f>
        <v/>
      </c>
      <c r="K9" s="260"/>
      <c r="L9" s="260"/>
      <c r="M9" s="260"/>
      <c r="N9" s="260"/>
      <c r="O9" s="260"/>
      <c r="P9" s="211"/>
      <c r="Q9" s="261"/>
      <c r="R9" s="208" t="str">
        <f ca="1">IF(ISERROR($V9),"",OFFSET('Smelter Look-up'!$C$4,$V9-4,0)&amp;"")</f>
        <v/>
      </c>
      <c r="S9" s="215" t="str">
        <f t="shared" ca="1" si="3"/>
        <v/>
      </c>
      <c r="T9" s="215" t="str">
        <f ca="1">IF(B9="","",IF(ISERROR(MATCH($J9,SorP!$B$1:$B$6230,0)),"",INDIRECT("'SorP'!$A$"&amp;MATCH($J9,SorP!$B$1:$B$6230,0))))</f>
        <v/>
      </c>
      <c r="U9" s="231"/>
      <c r="V9" s="262" t="e">
        <f>IF(C9="",NA(),IF(OR(C9="Smelter not listed",C9="Smelter not yet identified"),MATCH($B9&amp;$D9,'Smelter Look-up'!$J:$J,0),MATCH($B9&amp;$C9,'Smelter Look-up'!$J:$J,0)))</f>
        <v>#N/A</v>
      </c>
      <c r="W9" s="263"/>
      <c r="X9" s="263">
        <f t="shared" ca="1" si="4"/>
        <v>0</v>
      </c>
      <c r="Y9" s="263"/>
      <c r="Z9" s="263"/>
      <c r="AB9" s="265" t="str">
        <f t="shared" si="5"/>
        <v/>
      </c>
    </row>
    <row r="10" spans="1:34" s="264" customFormat="1" ht="19.899999999999999" customHeight="1">
      <c r="A10" s="316"/>
      <c r="B10" s="208" t="str">
        <f>IF(LEN(A10)=0,"",INDEX('Smelter Look-up'!$A:$A,MATCH($A10,'Smelter Look-up'!$E:$E,0)))</f>
        <v/>
      </c>
      <c r="C10" s="212" t="str">
        <f>IF(LEN(A10)=0,"",INDEX('Smelter Look-up'!$C:$C,MATCH($A10,'Smelter Look-up'!$E:$E,0)))</f>
        <v/>
      </c>
      <c r="D10" s="270"/>
      <c r="E10" s="208" t="str">
        <f ca="1">IF(ISERROR($V10),"",OFFSET('Smelter Look-up'!$D$4,$V10-4,0)&amp;"")</f>
        <v/>
      </c>
      <c r="F10" s="208" t="str">
        <f ca="1">IF(ISERROR($V10),"",OFFSET('Smelter Look-up'!$E$4,$V10-4,0))</f>
        <v/>
      </c>
      <c r="G10" s="208" t="str">
        <f ca="1">IF(C10=$X$4,IF(ISERROR($V10),"Enter smelter details","RMI"),IF(ISERROR($V10),"",OFFSET('Smelter Look-up'!$F$4,$V10-4,0)))</f>
        <v/>
      </c>
      <c r="H10" s="209" t="str">
        <f ca="1">IF(ISERROR($V10),"",OFFSET('Smelter Look-up'!$G$4,$V10-4,0))</f>
        <v/>
      </c>
      <c r="I10" s="210" t="str">
        <f ca="1">IF(ISERROR($V10),"",OFFSET('Smelter Look-up'!$H$4,$V10-4,0))</f>
        <v/>
      </c>
      <c r="J10" s="210" t="str">
        <f ca="1">IF(ISERROR($V10),"",OFFSET('Smelter Look-up'!$I$4,$V10-4,0))</f>
        <v/>
      </c>
      <c r="K10" s="260"/>
      <c r="L10" s="260"/>
      <c r="M10" s="260"/>
      <c r="N10" s="260"/>
      <c r="O10" s="260"/>
      <c r="P10" s="211"/>
      <c r="Q10" s="261"/>
      <c r="R10" s="208" t="str">
        <f ca="1">IF(ISERROR($V10),"",OFFSET('Smelter Look-up'!$C$4,$V10-4,0)&amp;"")</f>
        <v/>
      </c>
      <c r="S10" s="215" t="str">
        <f t="shared" ca="1" si="3"/>
        <v/>
      </c>
      <c r="T10" s="215" t="str">
        <f ca="1">IF(B10="","",IF(ISERROR(MATCH($J10,SorP!$B$1:$B$6230,0)),"",INDIRECT("'SorP'!$A$"&amp;MATCH($J10,SorP!$B$1:$B$6230,0))))</f>
        <v/>
      </c>
      <c r="U10" s="231"/>
      <c r="V10" s="262" t="e">
        <f>IF(C10="",NA(),IF(OR(C10="Smelter not listed",C10="Smelter not yet identified"),MATCH($B10&amp;$D10,'Smelter Look-up'!$J:$J,0),MATCH($B10&amp;$C10,'Smelter Look-up'!$J:$J,0)))</f>
        <v>#N/A</v>
      </c>
      <c r="W10" s="263"/>
      <c r="X10" s="263">
        <f t="shared" ca="1" si="4"/>
        <v>0</v>
      </c>
      <c r="Y10" s="263"/>
      <c r="Z10" s="263"/>
      <c r="AB10" s="265" t="str">
        <f t="shared" si="5"/>
        <v/>
      </c>
    </row>
    <row r="11" spans="1:34" s="264" customFormat="1" ht="19.899999999999999" customHeight="1">
      <c r="A11" s="316"/>
      <c r="B11" s="208" t="str">
        <f>IF(LEN(A11)=0,"",INDEX('Smelter Look-up'!$A:$A,MATCH($A11,'Smelter Look-up'!$E:$E,0)))</f>
        <v/>
      </c>
      <c r="C11" s="212" t="str">
        <f>IF(LEN(A11)=0,"",INDEX('Smelter Look-up'!$C:$C,MATCH($A11,'Smelter Look-up'!$E:$E,0)))</f>
        <v/>
      </c>
      <c r="D11" s="270"/>
      <c r="E11" s="208" t="str">
        <f ca="1">IF(ISERROR($V11),"",OFFSET('Smelter Look-up'!$D$4,$V11-4,0)&amp;"")</f>
        <v/>
      </c>
      <c r="F11" s="208" t="str">
        <f ca="1">IF(ISERROR($V11),"",OFFSET('Smelter Look-up'!$E$4,$V11-4,0))</f>
        <v/>
      </c>
      <c r="G11" s="208" t="str">
        <f ca="1">IF(C11=$X$4,IF(ISERROR($V11),"Enter smelter details","RMI"),IF(ISERROR($V11),"",OFFSET('Smelter Look-up'!$F$4,$V11-4,0)))</f>
        <v/>
      </c>
      <c r="H11" s="209" t="str">
        <f ca="1">IF(ISERROR($V11),"",OFFSET('Smelter Look-up'!$G$4,$V11-4,0))</f>
        <v/>
      </c>
      <c r="I11" s="210" t="str">
        <f ca="1">IF(ISERROR($V11),"",OFFSET('Smelter Look-up'!$H$4,$V11-4,0))</f>
        <v/>
      </c>
      <c r="J11" s="210" t="str">
        <f ca="1">IF(ISERROR($V11),"",OFFSET('Smelter Look-up'!$I$4,$V11-4,0))</f>
        <v/>
      </c>
      <c r="K11" s="260"/>
      <c r="L11" s="260"/>
      <c r="M11" s="260"/>
      <c r="N11" s="260"/>
      <c r="O11" s="260"/>
      <c r="P11" s="211"/>
      <c r="Q11" s="261"/>
      <c r="R11" s="208" t="str">
        <f ca="1">IF(ISERROR($V11),"",OFFSET('Smelter Look-up'!$C$4,$V11-4,0)&amp;"")</f>
        <v/>
      </c>
      <c r="S11" s="215" t="str">
        <f t="shared" ca="1" si="3"/>
        <v/>
      </c>
      <c r="T11" s="215" t="str">
        <f ca="1">IF(B11="","",IF(ISERROR(MATCH($J11,SorP!$B$1:$B$6230,0)),"",INDIRECT("'SorP'!$A$"&amp;MATCH($J11,SorP!$B$1:$B$6230,0))))</f>
        <v/>
      </c>
      <c r="U11" s="231"/>
      <c r="V11" s="262" t="e">
        <f>IF(C11="",NA(),IF(OR(C11="Smelter not listed",C11="Smelter not yet identified"),MATCH($B11&amp;$D11,'Smelter Look-up'!$J:$J,0),MATCH($B11&amp;$C11,'Smelter Look-up'!$J:$J,0)))</f>
        <v>#N/A</v>
      </c>
      <c r="W11" s="263"/>
      <c r="X11" s="263">
        <f t="shared" ca="1" si="4"/>
        <v>0</v>
      </c>
      <c r="Y11" s="263"/>
      <c r="Z11" s="263"/>
      <c r="AB11" s="265" t="str">
        <f t="shared" si="5"/>
        <v/>
      </c>
    </row>
    <row r="12" spans="1:34" s="264" customFormat="1" ht="19.899999999999999" customHeight="1">
      <c r="A12" s="316"/>
      <c r="B12" s="208" t="str">
        <f>IF(LEN(A12)=0,"",INDEX('Smelter Look-up'!$A:$A,MATCH($A12,'Smelter Look-up'!$E:$E,0)))</f>
        <v/>
      </c>
      <c r="C12" s="212" t="str">
        <f>IF(LEN(A12)=0,"",INDEX('Smelter Look-up'!$C:$C,MATCH($A12,'Smelter Look-up'!$E:$E,0)))</f>
        <v/>
      </c>
      <c r="D12" s="270"/>
      <c r="E12" s="208" t="str">
        <f ca="1">IF(ISERROR($V12),"",OFFSET('Smelter Look-up'!$D$4,$V12-4,0)&amp;"")</f>
        <v/>
      </c>
      <c r="F12" s="208" t="str">
        <f ca="1">IF(ISERROR($V12),"",OFFSET('Smelter Look-up'!$E$4,$V12-4,0))</f>
        <v/>
      </c>
      <c r="G12" s="208" t="str">
        <f ca="1">IF(C12=$X$4,IF(ISERROR($V12),"Enter smelter details","RMI"),IF(ISERROR($V12),"",OFFSET('Smelter Look-up'!$F$4,$V12-4,0)))</f>
        <v/>
      </c>
      <c r="H12" s="209" t="str">
        <f ca="1">IF(ISERROR($V12),"",OFFSET('Smelter Look-up'!$G$4,$V12-4,0))</f>
        <v/>
      </c>
      <c r="I12" s="210" t="str">
        <f ca="1">IF(ISERROR($V12),"",OFFSET('Smelter Look-up'!$H$4,$V12-4,0))</f>
        <v/>
      </c>
      <c r="J12" s="210" t="str">
        <f ca="1">IF(ISERROR($V12),"",OFFSET('Smelter Look-up'!$I$4,$V12-4,0))</f>
        <v/>
      </c>
      <c r="K12" s="260"/>
      <c r="L12" s="260"/>
      <c r="M12" s="260"/>
      <c r="N12" s="260"/>
      <c r="O12" s="260"/>
      <c r="P12" s="211"/>
      <c r="Q12" s="261"/>
      <c r="R12" s="208" t="str">
        <f ca="1">IF(ISERROR($V12),"",OFFSET('Smelter Look-up'!$C$4,$V12-4,0)&amp;"")</f>
        <v/>
      </c>
      <c r="S12" s="215" t="str">
        <f t="shared" ca="1" si="3"/>
        <v/>
      </c>
      <c r="T12" s="215" t="str">
        <f ca="1">IF(B12="","",IF(ISERROR(MATCH($J12,SorP!$B$1:$B$6230,0)),"",INDIRECT("'SorP'!$A$"&amp;MATCH($J12,SorP!$B$1:$B$6230,0))))</f>
        <v/>
      </c>
      <c r="U12" s="231"/>
      <c r="V12" s="262" t="e">
        <f>IF(C12="",NA(),IF(OR(C12="Smelter not listed",C12="Smelter not yet identified"),MATCH($B12&amp;$D12,'Smelter Look-up'!$J:$J,0),MATCH($B12&amp;$C12,'Smelter Look-up'!$J:$J,0)))</f>
        <v>#N/A</v>
      </c>
      <c r="W12" s="263"/>
      <c r="X12" s="263">
        <f t="shared" ca="1" si="4"/>
        <v>0</v>
      </c>
      <c r="Y12" s="263"/>
      <c r="Z12" s="263"/>
      <c r="AB12" s="265" t="str">
        <f t="shared" si="5"/>
        <v/>
      </c>
    </row>
    <row r="13" spans="1:34" s="264" customFormat="1" ht="19.899999999999999" customHeight="1">
      <c r="A13" s="316"/>
      <c r="B13" s="208" t="str">
        <f>IF(LEN(A13)=0,"",INDEX('Smelter Look-up'!$A:$A,MATCH($A13,'Smelter Look-up'!$E:$E,0)))</f>
        <v/>
      </c>
      <c r="C13" s="212" t="str">
        <f>IF(LEN(A13)=0,"",INDEX('Smelter Look-up'!$C:$C,MATCH($A13,'Smelter Look-up'!$E:$E,0)))</f>
        <v/>
      </c>
      <c r="D13" s="270"/>
      <c r="E13" s="208" t="str">
        <f ca="1">IF(ISERROR($V13),"",OFFSET('Smelter Look-up'!$D$4,$V13-4,0)&amp;"")</f>
        <v/>
      </c>
      <c r="F13" s="208" t="str">
        <f ca="1">IF(ISERROR($V13),"",OFFSET('Smelter Look-up'!$E$4,$V13-4,0))</f>
        <v/>
      </c>
      <c r="G13" s="208" t="str">
        <f ca="1">IF(C13=$X$4,IF(ISERROR($V13),"Enter smelter details","RMI"),IF(ISERROR($V13),"",OFFSET('Smelter Look-up'!$F$4,$V13-4,0)))</f>
        <v/>
      </c>
      <c r="H13" s="209" t="str">
        <f ca="1">IF(ISERROR($V13),"",OFFSET('Smelter Look-up'!$G$4,$V13-4,0))</f>
        <v/>
      </c>
      <c r="I13" s="210" t="str">
        <f ca="1">IF(ISERROR($V13),"",OFFSET('Smelter Look-up'!$H$4,$V13-4,0))</f>
        <v/>
      </c>
      <c r="J13" s="210" t="str">
        <f ca="1">IF(ISERROR($V13),"",OFFSET('Smelter Look-up'!$I$4,$V13-4,0))</f>
        <v/>
      </c>
      <c r="K13" s="260"/>
      <c r="L13" s="260"/>
      <c r="M13" s="260"/>
      <c r="N13" s="260"/>
      <c r="O13" s="260"/>
      <c r="P13" s="211"/>
      <c r="Q13" s="261"/>
      <c r="R13" s="208" t="str">
        <f ca="1">IF(ISERROR($V13),"",OFFSET('Smelter Look-up'!$C$4,$V13-4,0)&amp;"")</f>
        <v/>
      </c>
      <c r="S13" s="215" t="str">
        <f t="shared" ca="1" si="3"/>
        <v/>
      </c>
      <c r="T13" s="215" t="str">
        <f ca="1">IF(B13="","",IF(ISERROR(MATCH($J13,SorP!$B$1:$B$6230,0)),"",INDIRECT("'SorP'!$A$"&amp;MATCH($J13,SorP!$B$1:$B$6230,0))))</f>
        <v/>
      </c>
      <c r="U13" s="231"/>
      <c r="V13" s="262" t="e">
        <f>IF(C13="",NA(),IF(OR(C13="Smelter not listed",C13="Smelter not yet identified"),MATCH($B13&amp;$D13,'Smelter Look-up'!$J:$J,0),MATCH($B13&amp;$C13,'Smelter Look-up'!$J:$J,0)))</f>
        <v>#N/A</v>
      </c>
      <c r="W13" s="263"/>
      <c r="X13" s="263">
        <f t="shared" ca="1" si="4"/>
        <v>0</v>
      </c>
      <c r="Y13" s="263"/>
      <c r="Z13" s="263"/>
      <c r="AB13" s="265" t="str">
        <f t="shared" si="5"/>
        <v/>
      </c>
    </row>
    <row r="14" spans="1:34" s="264" customFormat="1" ht="19.899999999999999" customHeight="1">
      <c r="A14" s="316"/>
      <c r="B14" s="208" t="str">
        <f>IF(LEN(A14)=0,"",INDEX('Smelter Look-up'!$A:$A,MATCH($A14,'Smelter Look-up'!$E:$E,0)))</f>
        <v/>
      </c>
      <c r="C14" s="212" t="str">
        <f>IF(LEN(A14)=0,"",INDEX('Smelter Look-up'!$C:$C,MATCH($A14,'Smelter Look-up'!$E:$E,0)))</f>
        <v/>
      </c>
      <c r="D14" s="270"/>
      <c r="E14" s="208" t="str">
        <f ca="1">IF(ISERROR($V14),"",OFFSET('Smelter Look-up'!$D$4,$V14-4,0)&amp;"")</f>
        <v/>
      </c>
      <c r="F14" s="208" t="str">
        <f ca="1">IF(ISERROR($V14),"",OFFSET('Smelter Look-up'!$E$4,$V14-4,0))</f>
        <v/>
      </c>
      <c r="G14" s="208" t="str">
        <f ca="1">IF(C14=$X$4,IF(ISERROR($V14),"Enter smelter details","RMI"),IF(ISERROR($V14),"",OFFSET('Smelter Look-up'!$F$4,$V14-4,0)))</f>
        <v/>
      </c>
      <c r="H14" s="209" t="str">
        <f ca="1">IF(ISERROR($V14),"",OFFSET('Smelter Look-up'!$G$4,$V14-4,0))</f>
        <v/>
      </c>
      <c r="I14" s="210" t="str">
        <f ca="1">IF(ISERROR($V14),"",OFFSET('Smelter Look-up'!$H$4,$V14-4,0))</f>
        <v/>
      </c>
      <c r="J14" s="210" t="str">
        <f ca="1">IF(ISERROR($V14),"",OFFSET('Smelter Look-up'!$I$4,$V14-4,0))</f>
        <v/>
      </c>
      <c r="K14" s="260"/>
      <c r="L14" s="260"/>
      <c r="M14" s="260"/>
      <c r="N14" s="260"/>
      <c r="O14" s="260"/>
      <c r="P14" s="211"/>
      <c r="Q14" s="261"/>
      <c r="R14" s="208" t="str">
        <f ca="1">IF(ISERROR($V14),"",OFFSET('Smelter Look-up'!$C$4,$V14-4,0)&amp;"")</f>
        <v/>
      </c>
      <c r="S14" s="215" t="str">
        <f t="shared" ca="1" si="3"/>
        <v/>
      </c>
      <c r="T14" s="215" t="str">
        <f ca="1">IF(B14="","",IF(ISERROR(MATCH($J14,SorP!$B$1:$B$6230,0)),"",INDIRECT("'SorP'!$A$"&amp;MATCH($J14,SorP!$B$1:$B$6230,0))))</f>
        <v/>
      </c>
      <c r="U14" s="231"/>
      <c r="V14" s="262" t="e">
        <f>IF(C14="",NA(),IF(OR(C14="Smelter not listed",C14="Smelter not yet identified"),MATCH($B14&amp;$D14,'Smelter Look-up'!$J:$J,0),MATCH($B14&amp;$C14,'Smelter Look-up'!$J:$J,0)))</f>
        <v>#N/A</v>
      </c>
      <c r="W14" s="263"/>
      <c r="X14" s="263">
        <f t="shared" ca="1" si="4"/>
        <v>0</v>
      </c>
      <c r="Y14" s="263"/>
      <c r="Z14" s="263"/>
      <c r="AB14" s="265" t="str">
        <f t="shared" si="5"/>
        <v/>
      </c>
    </row>
    <row r="15" spans="1:34" s="264" customFormat="1" ht="19.899999999999999" customHeight="1">
      <c r="A15" s="316"/>
      <c r="B15" s="208" t="str">
        <f>IF(LEN(A15)=0,"",INDEX('Smelter Look-up'!$A:$A,MATCH($A15,'Smelter Look-up'!$E:$E,0)))</f>
        <v/>
      </c>
      <c r="C15" s="212" t="str">
        <f>IF(LEN(A15)=0,"",INDEX('Smelter Look-up'!$C:$C,MATCH($A15,'Smelter Look-up'!$E:$E,0)))</f>
        <v/>
      </c>
      <c r="D15" s="270"/>
      <c r="E15" s="208" t="str">
        <f ca="1">IF(ISERROR($V15),"",OFFSET('Smelter Look-up'!$D$4,$V15-4,0)&amp;"")</f>
        <v/>
      </c>
      <c r="F15" s="208" t="str">
        <f ca="1">IF(ISERROR($V15),"",OFFSET('Smelter Look-up'!$E$4,$V15-4,0))</f>
        <v/>
      </c>
      <c r="G15" s="208" t="str">
        <f ca="1">IF(C15=$X$4,IF(ISERROR($V15),"Enter smelter details","RMI"),IF(ISERROR($V15),"",OFFSET('Smelter Look-up'!$F$4,$V15-4,0)))</f>
        <v/>
      </c>
      <c r="H15" s="209" t="str">
        <f ca="1">IF(ISERROR($V15),"",OFFSET('Smelter Look-up'!$G$4,$V15-4,0))</f>
        <v/>
      </c>
      <c r="I15" s="210" t="str">
        <f ca="1">IF(ISERROR($V15),"",OFFSET('Smelter Look-up'!$H$4,$V15-4,0))</f>
        <v/>
      </c>
      <c r="J15" s="210" t="str">
        <f ca="1">IF(ISERROR($V15),"",OFFSET('Smelter Look-up'!$I$4,$V15-4,0))</f>
        <v/>
      </c>
      <c r="K15" s="260"/>
      <c r="L15" s="260"/>
      <c r="M15" s="260"/>
      <c r="N15" s="260"/>
      <c r="O15" s="260"/>
      <c r="P15" s="211"/>
      <c r="Q15" s="261"/>
      <c r="R15" s="208" t="str">
        <f ca="1">IF(ISERROR($V15),"",OFFSET('Smelter Look-up'!$C$4,$V15-4,0)&amp;"")</f>
        <v/>
      </c>
      <c r="S15" s="215" t="str">
        <f t="shared" ca="1" si="3"/>
        <v/>
      </c>
      <c r="T15" s="215" t="str">
        <f ca="1">IF(B15="","",IF(ISERROR(MATCH($J15,SorP!$B$1:$B$6230,0)),"",INDIRECT("'SorP'!$A$"&amp;MATCH($J15,SorP!$B$1:$B$6230,0))))</f>
        <v/>
      </c>
      <c r="U15" s="231"/>
      <c r="V15" s="262" t="e">
        <f>IF(C15="",NA(),IF(OR(C15="Smelter not listed",C15="Smelter not yet identified"),MATCH($B15&amp;$D15,'Smelter Look-up'!$J:$J,0),MATCH($B15&amp;$C15,'Smelter Look-up'!$J:$J,0)))</f>
        <v>#N/A</v>
      </c>
      <c r="W15" s="263"/>
      <c r="X15" s="263">
        <f t="shared" ca="1" si="4"/>
        <v>0</v>
      </c>
      <c r="Y15" s="263"/>
      <c r="Z15" s="263"/>
      <c r="AB15" s="265" t="str">
        <f t="shared" si="5"/>
        <v/>
      </c>
    </row>
    <row r="16" spans="1:34" s="264" customFormat="1" ht="19.899999999999999" customHeight="1">
      <c r="A16" s="316"/>
      <c r="B16" s="208" t="str">
        <f>IF(LEN(A16)=0,"",INDEX('Smelter Look-up'!$A:$A,MATCH($A16,'Smelter Look-up'!$E:$E,0)))</f>
        <v/>
      </c>
      <c r="C16" s="212" t="str">
        <f>IF(LEN(A16)=0,"",INDEX('Smelter Look-up'!$C:$C,MATCH($A16,'Smelter Look-up'!$E:$E,0)))</f>
        <v/>
      </c>
      <c r="D16" s="270"/>
      <c r="E16" s="208" t="str">
        <f ca="1">IF(ISERROR($V16),"",OFFSET('Smelter Look-up'!$D$4,$V16-4,0)&amp;"")</f>
        <v/>
      </c>
      <c r="F16" s="208" t="str">
        <f ca="1">IF(ISERROR($V16),"",OFFSET('Smelter Look-up'!$E$4,$V16-4,0))</f>
        <v/>
      </c>
      <c r="G16" s="208" t="str">
        <f ca="1">IF(C16=$X$4,IF(ISERROR($V16),"Enter smelter details","RMI"),IF(ISERROR($V16),"",OFFSET('Smelter Look-up'!$F$4,$V16-4,0)))</f>
        <v/>
      </c>
      <c r="H16" s="209" t="str">
        <f ca="1">IF(ISERROR($V16),"",OFFSET('Smelter Look-up'!$G$4,$V16-4,0))</f>
        <v/>
      </c>
      <c r="I16" s="210" t="str">
        <f ca="1">IF(ISERROR($V16),"",OFFSET('Smelter Look-up'!$H$4,$V16-4,0))</f>
        <v/>
      </c>
      <c r="J16" s="210" t="str">
        <f ca="1">IF(ISERROR($V16),"",OFFSET('Smelter Look-up'!$I$4,$V16-4,0))</f>
        <v/>
      </c>
      <c r="K16" s="260"/>
      <c r="L16" s="260"/>
      <c r="M16" s="260"/>
      <c r="N16" s="260"/>
      <c r="O16" s="260"/>
      <c r="P16" s="211"/>
      <c r="Q16" s="261"/>
      <c r="R16" s="208" t="str">
        <f ca="1">IF(ISERROR($V16),"",OFFSET('Smelter Look-up'!$C$4,$V16-4,0)&amp;"")</f>
        <v/>
      </c>
      <c r="S16" s="215" t="str">
        <f t="shared" ca="1" si="3"/>
        <v/>
      </c>
      <c r="T16" s="215" t="str">
        <f ca="1">IF(B16="","",IF(ISERROR(MATCH($J16,SorP!$B$1:$B$6230,0)),"",INDIRECT("'SorP'!$A$"&amp;MATCH($J16,SorP!$B$1:$B$6230,0))))</f>
        <v/>
      </c>
      <c r="U16" s="231"/>
      <c r="V16" s="262" t="e">
        <f>IF(C16="",NA(),IF(OR(C16="Smelter not listed",C16="Smelter not yet identified"),MATCH($B16&amp;$D16,'Smelter Look-up'!$J:$J,0),MATCH($B16&amp;$C16,'Smelter Look-up'!$J:$J,0)))</f>
        <v>#N/A</v>
      </c>
      <c r="W16" s="263"/>
      <c r="X16" s="263">
        <f t="shared" ca="1" si="4"/>
        <v>0</v>
      </c>
      <c r="Y16" s="263"/>
      <c r="Z16" s="263"/>
      <c r="AB16" s="265" t="str">
        <f t="shared" si="5"/>
        <v/>
      </c>
    </row>
    <row r="17" spans="1:28" s="264" customFormat="1" ht="19.899999999999999" customHeight="1">
      <c r="A17" s="316"/>
      <c r="B17" s="208" t="str">
        <f>IF(LEN(A17)=0,"",INDEX('Smelter Look-up'!$A:$A,MATCH($A17,'Smelter Look-up'!$E:$E,0)))</f>
        <v/>
      </c>
      <c r="C17" s="212" t="str">
        <f>IF(LEN(A17)=0,"",INDEX('Smelter Look-up'!$C:$C,MATCH($A17,'Smelter Look-up'!$E:$E,0)))</f>
        <v/>
      </c>
      <c r="D17" s="270"/>
      <c r="E17" s="208" t="str">
        <f ca="1">IF(ISERROR($V17),"",OFFSET('Smelter Look-up'!$D$4,$V17-4,0)&amp;"")</f>
        <v/>
      </c>
      <c r="F17" s="208" t="str">
        <f ca="1">IF(ISERROR($V17),"",OFFSET('Smelter Look-up'!$E$4,$V17-4,0))</f>
        <v/>
      </c>
      <c r="G17" s="208" t="str">
        <f ca="1">IF(C17=$X$4,IF(ISERROR($V17),"Enter smelter details","RMI"),IF(ISERROR($V17),"",OFFSET('Smelter Look-up'!$F$4,$V17-4,0)))</f>
        <v/>
      </c>
      <c r="H17" s="209" t="str">
        <f ca="1">IF(ISERROR($V17),"",OFFSET('Smelter Look-up'!$G$4,$V17-4,0))</f>
        <v/>
      </c>
      <c r="I17" s="210" t="str">
        <f ca="1">IF(ISERROR($V17),"",OFFSET('Smelter Look-up'!$H$4,$V17-4,0))</f>
        <v/>
      </c>
      <c r="J17" s="210" t="str">
        <f ca="1">IF(ISERROR($V17),"",OFFSET('Smelter Look-up'!$I$4,$V17-4,0))</f>
        <v/>
      </c>
      <c r="K17" s="260"/>
      <c r="L17" s="260"/>
      <c r="M17" s="260"/>
      <c r="N17" s="260"/>
      <c r="O17" s="260"/>
      <c r="P17" s="211"/>
      <c r="Q17" s="261"/>
      <c r="R17" s="208" t="str">
        <f ca="1">IF(ISERROR($V17),"",OFFSET('Smelter Look-up'!$C$4,$V17-4,0)&amp;"")</f>
        <v/>
      </c>
      <c r="S17" s="215" t="str">
        <f t="shared" ca="1" si="3"/>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ca="1" si="4"/>
        <v>0</v>
      </c>
      <c r="Y17" s="263"/>
      <c r="Z17" s="263"/>
      <c r="AB17" s="265" t="str">
        <f t="shared" si="5"/>
        <v/>
      </c>
    </row>
    <row r="18" spans="1:28" s="264" customFormat="1" ht="19.899999999999999"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3"/>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4"/>
        <v>0</v>
      </c>
      <c r="Y18" s="263"/>
      <c r="Z18" s="263"/>
      <c r="AB18" s="265" t="str">
        <f t="shared" si="5"/>
        <v/>
      </c>
    </row>
    <row r="19" spans="1:28" s="264" customFormat="1" ht="20.25">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20.25">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25">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25">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25">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25">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25">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25">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25">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25">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25">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25">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25">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25">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25">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25">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25">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25">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25">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25">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25">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25">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25">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25">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25">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25">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25">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25">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25">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25">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25">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C58" sqref="C58"/>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5" t="str">
        <f ca="1">OFFSET(L!$C$1,MATCH("Checker"&amp;ADDRESS(ROW(),COLUMN(),4),L!$A:$A,0)-1,SL,,)</f>
        <v>To ensure all required fields have been populated before submitting to your customers review form for any line items highlighted in red</v>
      </c>
      <c r="B1" s="455"/>
      <c r="C1" s="455"/>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Du-Co Ceramics Company</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Michael Crytzer</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mcrytzer@du-co.com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724-352-1511</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Michael Crytzer</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mcrytzer@du-co.com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44860</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 xml:space="preserve">Gold  </v>
      </c>
      <c r="B16" s="99" t="str">
        <f>Declaration!D28</f>
        <v>no</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 xml:space="preserve">Gold  </v>
      </c>
      <c r="B21" s="99">
        <f>IF($B$16="Yes",Declaration!D34,0)</f>
        <v>0</v>
      </c>
      <c r="C21" s="99" t="str">
        <f ca="1">IF(H21=1,J21,I21)</f>
        <v>Complete</v>
      </c>
      <c r="D21" s="107" t="str">
        <f>IF(H21=1,"Click here to answer question 2 for Gold","")</f>
        <v/>
      </c>
      <c r="E21" s="81" t="s">
        <v>807</v>
      </c>
      <c r="F21" s="104">
        <f>IF(B$16="No",0,1)</f>
        <v>0</v>
      </c>
      <c r="G21" s="78">
        <f>IF(B21=0,1,0)</f>
        <v>1</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Unknown</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 xml:space="preserve">Gold  </v>
      </c>
      <c r="B26" s="99">
        <f>IF(AND($B$16="Yes",$B$21="Yes"),Declaration!D40,0)</f>
        <v>0</v>
      </c>
      <c r="C26" s="99" t="str">
        <f ca="1">IF(H26=1,J26,I26)</f>
        <v>Complete</v>
      </c>
      <c r="D26" s="107" t="str">
        <f>IF(H26=1,"Click here to answer question 3 for Gold","")</f>
        <v/>
      </c>
      <c r="E26" s="81" t="s">
        <v>807</v>
      </c>
      <c r="F26" s="104">
        <f>IF(OR(B16="No",B21="No"),0,1)</f>
        <v>0</v>
      </c>
      <c r="G26" s="78">
        <f>IF(B26=0,1,0)</f>
        <v>1</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Unknown</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 xml:space="preserve">Gold  </v>
      </c>
      <c r="B31" s="99">
        <f>IF(AND($B$16="Yes",$B$21="Yes"),Declaration!D46,0)</f>
        <v>0</v>
      </c>
      <c r="C31" s="99" t="str">
        <f ca="1">IF(H31=1,J31,I31)</f>
        <v>Complete</v>
      </c>
      <c r="D31" s="314" t="str">
        <f>IF(H31=1,"Click here to answer question 4 for Gold","")</f>
        <v/>
      </c>
      <c r="E31" s="81"/>
      <c r="F31" s="104">
        <f>F26</f>
        <v>0</v>
      </c>
      <c r="G31" s="78">
        <f>IF(B31=0,1,0)</f>
        <v>1</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51">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Unknown</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 xml:space="preserve">Gold  </v>
      </c>
      <c r="B36" s="99">
        <f>IF(AND($B$16="Yes",$B$21="Yes"),Declaration!D52,0)</f>
        <v>0</v>
      </c>
      <c r="C36" s="99" t="str">
        <f ca="1">IF(H36=1,J36,I36)</f>
        <v>Complete</v>
      </c>
      <c r="D36" s="314" t="str">
        <f>IF(H36=1,"Click here to answer question 5 for Gold","")</f>
        <v/>
      </c>
      <c r="E36" s="81" t="s">
        <v>1307</v>
      </c>
      <c r="F36" s="104">
        <f>F26</f>
        <v>0</v>
      </c>
      <c r="G36" s="78">
        <f>IF(B36=0,1,0)</f>
        <v>1</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51">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t="str">
        <f>IF(AND($B$15="Yes",$B$20="Yes"),Declaration!D57,0)</f>
        <v>None</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 xml:space="preserve">Gold  </v>
      </c>
      <c r="B41" s="333">
        <f>IF(AND($B$16="Yes",$B$21="Yes"),Declaration!D58,0)</f>
        <v>0</v>
      </c>
      <c r="C41" s="99" t="str">
        <f ca="1">IF(H41=1,J41,I41)</f>
        <v>Complete</v>
      </c>
      <c r="D41" s="315" t="str">
        <f>IF(H41=1,"Click here to answer question 6 for Gold","")</f>
        <v/>
      </c>
      <c r="E41" s="81" t="s">
        <v>806</v>
      </c>
      <c r="F41" s="104">
        <f>F26</f>
        <v>0</v>
      </c>
      <c r="G41" s="78">
        <f>IF(B41=0,1,0)</f>
        <v>1</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No</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 xml:space="preserve">Gold  </v>
      </c>
      <c r="B46" s="99">
        <f>IF(AND($B$16="Yes",$B$21="Yes"),Declaration!D64,0)</f>
        <v>0</v>
      </c>
      <c r="C46" s="99" t="str">
        <f ca="1">IF(H46=1,J46,I46)</f>
        <v>Complete</v>
      </c>
      <c r="D46" s="314" t="str">
        <f>IF(H46=1,"Click here to answer question 7 for Gold","")</f>
        <v/>
      </c>
      <c r="E46" s="81" t="s">
        <v>1303</v>
      </c>
      <c r="F46" s="104">
        <f>F26</f>
        <v>0</v>
      </c>
      <c r="G46" s="78">
        <f>IF(B46=0,1,0)</f>
        <v>1</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No</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 xml:space="preserve">Gold  </v>
      </c>
      <c r="B51" s="99">
        <f>IF(AND($B$16="Yes",$B$21="Yes"),Declaration!D70,0)</f>
        <v>0</v>
      </c>
      <c r="C51" s="99" t="str">
        <f ca="1">IF(H51=1,J51,I51)</f>
        <v>Complete</v>
      </c>
      <c r="D51" s="315" t="str">
        <f>IF(H51=1,"Click here to answer question 8 for Gold","")</f>
        <v/>
      </c>
      <c r="E51" s="81" t="s">
        <v>807</v>
      </c>
      <c r="F51" s="104">
        <f>F26</f>
        <v>0</v>
      </c>
      <c r="G51" s="78">
        <f>IF(B51=0,1,0)</f>
        <v>1</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no</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no</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f>Declaration!G77</f>
        <v>0</v>
      </c>
      <c r="C56" s="99" t="str">
        <f t="shared" ca="1" si="10"/>
        <v>Complete</v>
      </c>
      <c r="D56" s="105" t="str">
        <f>IF(H56=1,"Click here to specify URL for question (B)","")</f>
        <v/>
      </c>
      <c r="E56" s="81"/>
      <c r="F56" s="104">
        <f>IF(AND(F55=1,B55="Yes"),1,0)</f>
        <v>0</v>
      </c>
      <c r="G56" s="78">
        <f>IF(LEN(B56)&gt;1,0,1)</f>
        <v>1</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63.75">
      <c r="A57" s="99" t="str">
        <f ca="1">Declaration!B79</f>
        <v>C. Do you require your direct suppliers to source the 3TG from smelters whose due diligence practices have been validated by an independent third party audit program? (*)</v>
      </c>
      <c r="B57" s="99" t="str">
        <f>Declaration!D79</f>
        <v>no</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no</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no</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no</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no</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0</v>
      </c>
      <c r="G65" s="78">
        <f>IF(AND(COUNTIF(SmelterIdetifiedForMetal,"Tantalum")&gt;0,COUNTIF('Smelter List'!AB$5:AB$2504,"Tantalum?*")&gt;0),0,1)</f>
        <v>1</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1</v>
      </c>
      <c r="G66" s="78">
        <f>IF(AND(COUNTIF(SmelterIdetifiedForMetal,"Tin")&gt;0,COUNTIF('Smelter List'!AB$5:AB$2504,"Tin?*")&gt;0),0,1)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0</v>
      </c>
      <c r="G67" s="78">
        <f>IF(AND(COUNTIF(SmelterIdetifiedForMetal,"Gold")&gt;0,COUNTIF('Smelter List'!AB$5:AB$2504,"Gold?*")&gt;0),0,1)</f>
        <v>1</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0</v>
      </c>
      <c r="G68" s="78">
        <f>IF(AND(COUNTIF(SmelterIdetifiedForMetal,"Tungsten")&gt;0,COUNTIF('Smelter List'!AB$5:AB$2504,"Tungsten?*")&gt;0),0,1)</f>
        <v>1</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7" t="str">
        <f ca="1">OFFSET(L!$C$1,MATCH("Product List"&amp;ADDRESS(ROW(),COLUMN(),4),L!$A:$A,0)-1,SL,,)</f>
        <v>Completion required only if reporting level "Product (or List of Products)" selected on the 'Declaration' worksheet.</v>
      </c>
      <c r="B1" s="458"/>
      <c r="C1" s="458"/>
      <c r="D1" s="458"/>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6" t="s">
        <v>898</v>
      </c>
      <c r="C4" s="456"/>
      <c r="D4" s="456"/>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9" t="str">
        <f ca="1">OFFSET(L!$C$1,MATCH("General"&amp;"Cpy",L!$A:$A,0)-1,SL,,)</f>
        <v>© 2022 Responsible Minerals Initiative. All rights reserved.</v>
      </c>
      <c r="C2006" s="459"/>
      <c r="D2006" s="459"/>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13.75">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30">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Mike Crytzer</cp:lastModifiedBy>
  <cp:lastPrinted>2015-04-21T20:47:43Z</cp:lastPrinted>
  <dcterms:created xsi:type="dcterms:W3CDTF">2010-06-21T21:00:23Z</dcterms:created>
  <dcterms:modified xsi:type="dcterms:W3CDTF">2022-10-26T19:07:09Z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